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comments1.xml" ContentType="application/vnd.openxmlformats-officedocument.spreadsheetml.comment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motor datasheet" sheetId="1" r:id="rId1"/>
    <sheet name="motor parameters" sheetId="2" r:id="rId2"/>
  </sheets>
  <definedNames>
    <definedName name="_xlnm.Print_Area" localSheetId="0">'motor datasheet'!$A$1:$N$134</definedName>
    <definedName name="_xlnm.Print_Area" localSheetId="1">'motor parameters'!$A$1:$N$48</definedName>
  </definedNames>
</workbook>
</file>

<file path=xl/comments1.xml><?xml version="1.0" encoding="utf-8"?>
<comments xmlns="http://schemas.openxmlformats.org/spreadsheetml/2006/main">
  <authors>
    <author>jordi trullén</author>
  </authors>
  <commentList>
    <comment ref="E19" authorId="0">
      <text>
        <t xml:space="preserve">La Tensión de Base Vb indica el voltaje a partir del cual el motor entra en desexcitación. Ha de ser menor o igual que la tensión máxima a la salida del convertidor Vc. 
Con el valor de Vb se fijan la frecuencia, velocidad y potencia del motor en las tablas de servicio S1 y S6.
Base Voltage Vb indicates the value from which the motor enters in field weakening. It must be less or equal than the inverter max. output voltage Vc.
This Vb value fix the frequency, speed and power in the S1 and S6 service tables below.</t>
      </text>
    </comment>
    <comment ref="F19" authorId="0">
      <text>
        <t xml:space="preserve">La Tensión de Base Vb indica el voltaje a partir del cual el motor entra en desexcitación. Ha de ser menor o igual que la tensión máxima a la salida del convertidor Vc. 
Con el valor de Vb se fijan la frecuencia, velocidad y potencia del motor en las tablas de servicio S1 y S6.
Base Voltage Vb indicates the value from which the motor enters in field weakening. It must be less or equal than the inverter max. output voltage Vc.
This Vb value fix the frequency, speed and power in the S1 and S6 service tables below.</t>
      </text>
    </comment>
    <comment ref="L19" authorId="0">
      <text>
        <t xml:space="preserve">La Tensión máxima de salida del convertidor Vc indica el voltaje máximo que se puede obtener a la salida del convertidor a partir de la tensión de red. Como máximo puede ser igual a la tensión de la red. El valor de Vc fija los limites de velocidad del motor para un par o potencia determinado. 
Inverter Max. Output Voltage Vc indicates the maximum expected voltage at the inverter output from a given network voltage. At maximum it would be equal to the network voltage. Vc value fix the speed limits of the motor for a given power or torque.
</t>
      </text>
    </comment>
    <comment ref="M19" authorId="0">
      <text>
        <t xml:space="preserve">La Tensión máxima de salida del convertidor Vc indica el voltaje máximo que se puede obtener a la salida del convertidor a partir de la tensión de red. Como máximo puede ser igual a la tensión de la red. El valor de Vc fija los limites de velocidad del motor para un par o potencia determinado. 
Max. Inverter Output Voltage Vc indicates the maximum expected voltage at the inverter output from a given network voltage. At maximum it would be equal to the network voltage. Vcvalue fix the speed limits of the motor for a given power or torque.</t>
      </text>
    </comment>
    <comment ref="A85" authorId="0">
      <text>
        <t xml:space="preserve">Introducir en la tabla los datos de la aplicación para que aparezcan en el gráfico.
Insert in the table the load data in order to be shown on the diagram.</t>
      </text>
    </comment>
    <comment ref="A87" authorId="0">
      <text>
        <t xml:space="preserve">Introducir en la tabla los datos de la aplicación para que aparezcan en el gráfico
Insert in the table the load data in order to be shown on the diagram</t>
      </text>
    </comment>
    <comment ref="B87" authorId="0">
      <text>
        <t xml:space="preserve">Introducir en la tabla los datos de la aplicación para que aparezcan en el gráfico
Insert in the table the load data in order to be shown on the diagram</t>
      </text>
    </comment>
    <comment ref="C87" authorId="0">
      <text>
        <t xml:space="preserve">Introducir en la tabla los datos de la aplicación para que aparezcan en el gráfico
Insert in the table the load data in order to be shown on the diagram</t>
      </text>
    </comment>
    <comment ref="A109" authorId="0">
      <text>
        <t xml:space="preserve">Introducir en la tabla los datos de la aplicación para que aparezcan en el gráfico.
Insert in the table the load data in order to be shown on the diagram.</t>
      </text>
    </comment>
    <comment ref="A111" authorId="0">
      <text>
        <t xml:space="preserve">Introducir en la tabla los datos de la aplicación para que aparezcan en el gráfico
Insert in the table the load data in order to be shown on the diagram</t>
      </text>
    </comment>
    <comment ref="B111" authorId="0">
      <text>
        <t xml:space="preserve">Introducir en la tabla los datos de la aplicación para que aparezcan en el gráfico
Insert in the table the load data in order to be shown on the diagram</t>
      </text>
    </comment>
    <comment ref="C111" authorId="0">
      <text>
        <t xml:space="preserve">Introducir en la tabla los datos de la aplicación para que aparezcan en el gráfico
Insert in the table the load data in order to be shown on the diagram</t>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69">
    <numFmt numFmtId="5" formatCode="#,##0\ &quot;₴&quot;;\-#,##0\ &quot;₴&quot;"/>
    <numFmt numFmtId="6" formatCode="#,##0\ &quot;₴&quot;;[Red]\-#,##0\ &quot;₴&quot;"/>
    <numFmt numFmtId="7" formatCode="#,##0.00\ &quot;₴&quot;;\-#,##0.00\ &quot;₴&quot;"/>
    <numFmt numFmtId="8" formatCode="#,##0.00\ &quot;₴&quot;;[Red]\-#,##0.00\ &quot;₴&quot;"/>
    <numFmt numFmtId="41" formatCode="_-* #,##0_-;\-* #,##0_-;_-* &quot;-&quot;_-;_-@_-"/>
    <numFmt numFmtId="42" formatCode="_-* #,##0\ &quot;₴&quot;_-;\-* #,##0\ &quot;₴&quot;_-;_-* &quot;-&quot;\ &quot;₴&quot;_-;_-@_-"/>
    <numFmt numFmtId="43" formatCode="_-* #,##0.00_-;\-* #,##0.00_-;_-* &quot;-&quot;??_-;_-@_-"/>
    <numFmt numFmtId="44" formatCode="_-* #,##0.00\ &quot;₴&quot;_-;\-* #,##0.00\ &quot;₴&quot;_-;_-* &quot;-&quot;??\ &quot;₴&quot;_-;_-@_-"/>
    <numFmt numFmtId="56" formatCode="&quot;上午/下午 &quot;hh&quot;時&quot;mm&quot;分&quot;ss&quot;秒 &quot;"/>
    <numFmt numFmtId="164" formatCode="#,##0\ &quot;€&quot;;\-#,##0\ &quot;€&quot;"/>
    <numFmt numFmtId="165" formatCode="#,##0\ &quot;€&quot;;[Red]\-#,##0\ &quot;€&quot;"/>
    <numFmt numFmtId="166" formatCode="#,##0.00\ &quot;€&quot;;\-#,##0.00\ &quot;€&quot;"/>
    <numFmt numFmtId="167" formatCode="#,##0.00\ &quot;€&quot;;[Red]\-#,##0.00\ &quot;€&quot;"/>
    <numFmt numFmtId="168" formatCode="_-* #,##0\ &quot;€&quot;_-;\-* #,##0\ &quot;€&quot;_-;_-* &quot;-&quot;\ &quot;€&quot;_-;_-@_-"/>
    <numFmt numFmtId="169" formatCode="_-* #,##0\ _€_-;\-* #,##0\ _€_-;_-* &quot;-&quot;\ _€_-;_-@_-"/>
    <numFmt numFmtId="170" formatCode="_-* #,##0.00\ &quot;€&quot;_-;\-* #,##0.00\ &quot;€&quot;_-;_-* &quot;-&quot;??\ &quot;€&quot;_-;_-@_-"/>
    <numFmt numFmtId="171" formatCode="_-* #,##0.00\ _€_-;\-* #,##0.00\ _€_-;_-* &quot;-&quot;??\ _€_-;_-@_-"/>
    <numFmt numFmtId="172" formatCode="#,##0&quot;€&quot;;\-#,##0&quot;€&quot;"/>
    <numFmt numFmtId="173" formatCode="#,##0&quot;€&quot;;[Red]\-#,##0&quot;€&quot;"/>
    <numFmt numFmtId="174" formatCode="#,##0.00&quot;€&quot;;\-#,##0.00&quot;€&quot;"/>
    <numFmt numFmtId="175" formatCode="#,##0.00&quot;€&quot;;[Red]\-#,##0.00&quot;€&quot;"/>
    <numFmt numFmtId="176" formatCode="_-* #,##0&quot;€&quot;_-;\-* #,##0&quot;€&quot;_-;_-* &quot;-&quot;&quot;€&quot;_-;_-@_-"/>
    <numFmt numFmtId="177" formatCode="_-* #,##0_€_-;\-* #,##0_€_-;_-* &quot;-&quot;_€_-;_-@_-"/>
    <numFmt numFmtId="178" formatCode="_-* #,##0.00&quot;€&quot;_-;\-* #,##0.00&quot;€&quot;_-;_-* &quot;-&quot;??&quot;€&quot;_-;_-@_-"/>
    <numFmt numFmtId="179" formatCode="_-* #,##0.00_€_-;\-* #,##0.00_€_-;_-* &quot;-&quot;??_€_-;_-@_-"/>
    <numFmt numFmtId="180" formatCode="#,##0\ &quot;pta&quot;;\-#,##0\ &quot;pta&quot;"/>
    <numFmt numFmtId="181" formatCode="#,##0\ &quot;pta&quot;;[Red]\-#,##0\ &quot;pta&quot;"/>
    <numFmt numFmtId="182" formatCode="#,##0.00\ &quot;pta&quot;;\-#,##0.00\ &quot;pta&quot;"/>
    <numFmt numFmtId="183" formatCode="#,##0.00\ &quot;pta&quot;;[Red]\-#,##0.00\ &quot;pta&quot;"/>
    <numFmt numFmtId="184" formatCode="_-* #,##0\ &quot;pta&quot;_-;\-* #,##0\ &quot;pta&quot;_-;_-* &quot;-&quot;\ &quot;pta&quot;_-;_-@_-"/>
    <numFmt numFmtId="185" formatCode="_-* #,##0\ _p_t_a_-;\-* #,##0\ _p_t_a_-;_-* &quot;-&quot;\ _p_t_a_-;_-@_-"/>
    <numFmt numFmtId="186" formatCode="_-* #,##0.00\ &quot;pta&quot;_-;\-* #,##0.00\ &quot;pta&quot;_-;_-* &quot;-&quot;??\ &quot;pta&quot;_-;_-@_-"/>
    <numFmt numFmtId="187" formatCode="_-* #,##0.00\ _p_t_a_-;\-* #,##0.00\ _p_t_a_-;_-* &quot;-&quot;??\ _p_t_a_-;_-@_-"/>
    <numFmt numFmtId="188" formatCode="&quot;N$&quot;#,##0_);\(&quot;N$&quot;#,##0\)"/>
    <numFmt numFmtId="189" formatCode="&quot;N$&quot;#,##0_);[Red]\(&quot;N$&quot;#,##0\)"/>
    <numFmt numFmtId="190" formatCode="&quot;N$&quot;#,##0.00_);\(&quot;N$&quot;#,##0.00\)"/>
    <numFmt numFmtId="191" formatCode="&quot;N$&quot;#,##0.00_);[Red]\(&quot;N$&quot;#,##0.00\)"/>
    <numFmt numFmtId="192" formatCode="_(&quot;N$&quot;* #,##0_);_(&quot;N$&quot;* \(#,##0\);_(&quot;N$&quot;* &quot;-&quot;_);_(@_)"/>
    <numFmt numFmtId="193" formatCode="_(* #,##0_);_(* \(#,##0\);_(* &quot;-&quot;_);_(@_)"/>
    <numFmt numFmtId="194" formatCode="_(&quot;N$&quot;* #,##0.00_);_(&quot;N$&quot;* \(#,##0.00\);_(&quot;N$&quot;* &quot;-&quot;??_);_(@_)"/>
    <numFmt numFmtId="195" formatCode="_(* #,##0.00_);_(* \(#,##0.00\);_(* &quot;-&quot;??_);_(@_)"/>
    <numFmt numFmtId="196" formatCode="#,##0\ &quot;Pts&quot;;\-#,##0\ &quot;Pts&quot;"/>
    <numFmt numFmtId="197" formatCode="#,##0\ &quot;Pts&quot;;[Red]\-#,##0\ &quot;Pts&quot;"/>
    <numFmt numFmtId="198" formatCode="#,##0.00\ &quot;Pts&quot;;\-#,##0.00\ &quot;Pts&quot;"/>
    <numFmt numFmtId="199" formatCode="#,##0.00\ &quot;Pts&quot;;[Red]\-#,##0.00\ &quot;Pts&quot;"/>
    <numFmt numFmtId="200" formatCode="_-* #,##0\ &quot;Pts&quot;_-;\-* #,##0\ &quot;Pts&quot;_-;_-* &quot;-&quot;\ &quot;Pts&quot;_-;_-@_-"/>
    <numFmt numFmtId="201" formatCode="_-* #,##0\ _P_t_s_-;\-* #,##0\ _P_t_s_-;_-* &quot;-&quot;\ _P_t_s_-;_-@_-"/>
    <numFmt numFmtId="202" formatCode="_-* #,##0.00\ &quot;Pts&quot;_-;\-* #,##0.00\ &quot;Pts&quot;_-;_-* &quot;-&quot;??\ &quot;Pts&quot;_-;_-@_-"/>
    <numFmt numFmtId="203" formatCode="_-* #,##0.00\ _P_t_s_-;\-* #,##0.00\ _P_t_s_-;_-* &quot;-&quot;??\ _P_t_s_-;_-@_-"/>
    <numFmt numFmtId="204" formatCode="0.0"/>
    <numFmt numFmtId="205" formatCode="0.000"/>
    <numFmt numFmtId="206" formatCode="0,000"/>
    <numFmt numFmtId="207" formatCode="#,##0.000"/>
    <numFmt numFmtId="208" formatCode="#,##0.00000"/>
    <numFmt numFmtId="209" formatCode="#,##0.0000"/>
    <numFmt numFmtId="210" formatCode="0.000E+00"/>
    <numFmt numFmtId="211" formatCode="0.0000"/>
    <numFmt numFmtId="212" formatCode="0.00000"/>
    <numFmt numFmtId="213" formatCode="0.000000"/>
    <numFmt numFmtId="214" formatCode="0.0000000000"/>
    <numFmt numFmtId="215" formatCode="0.00_ ;[Red]\-0.00\ "/>
    <numFmt numFmtId="216" formatCode="0.0000000"/>
    <numFmt numFmtId="217" formatCode="0\ \V"/>
    <numFmt numFmtId="218" formatCode="0.00000000"/>
    <numFmt numFmtId="219" formatCode="d/m"/>
    <numFmt numFmtId="220" formatCode="d\-m"/>
    <numFmt numFmtId="221" formatCode="dd\-mm\-yy"/>
    <numFmt numFmtId="222" formatCode="#,##0.000\ &quot;pta&quot;"/>
    <numFmt numFmtId="223" formatCode="#####\ &quot;rpm&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vmlDrawing" Target="../drawings/vmlDrawing1.vml"/><Relationship Id="rId2"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dimension ref="A1:BX211"/>
  <sheetViews>
    <sheetView workbookViewId="0" rightToLeft="0"/>
  </sheetViews>
  <cols>
    <col min="1" max="1" width="32.83203125" customWidth="1"/>
    <col min="2" max="2" width="18.83203125" customWidth="1"/>
    <col min="3" max="3" width="18.83203125" customWidth="1"/>
    <col min="4" max="4" width="18.83203125" customWidth="1"/>
    <col min="5" max="5" width="18.83203125" customWidth="1"/>
    <col min="6" max="6" width="18.83203125" customWidth="1"/>
    <col min="7" max="7" width="18.83203125" customWidth="1"/>
    <col min="8" max="8" width="18.83203125" customWidth="1"/>
    <col min="9" max="9" width="18.83203125" customWidth="1"/>
    <col min="10" max="10" width="18.83203125" customWidth="1"/>
    <col min="11" max="11" width="18.83203125" customWidth="1"/>
    <col min="12" max="12" width="18.83203125" customWidth="1"/>
    <col min="13" max="13" width="18.83203125" customWidth="1"/>
    <col min="14" max="14" width="18.83203125" customWidth="1"/>
  </cols>
  <sheetData>
    <row r="1" ht="20.1" customHeight="1">
      <c r="L1" t="str">
        <v>Codigo</v>
      </c>
      <c r="M1" t="str">
        <v>DT-QI160L</v>
      </c>
    </row>
    <row r="2" ht="20.1" customHeight="1">
      <c r="D2" t="str">
        <v>MOTOR MAC QI 160 L</v>
      </c>
      <c r="L2" t="str">
        <v>Edición</v>
      </c>
      <c r="M2" t="str">
        <v>13</v>
      </c>
    </row>
    <row r="3" ht="20.1" customHeight="1">
      <c r="D3" t="str">
        <v xml:space="preserve"> - Hoja de Datos Técnicos -</v>
      </c>
      <c r="L3" t="str">
        <v>Página</v>
      </c>
      <c r="M3" t="str">
        <v xml:space="preserve"> 1/1</v>
      </c>
    </row>
    <row r="4" ht="20.1" customHeight="1">
      <c r="D4" t="str">
        <v xml:space="preserve"> - Technical Datasheet -</v>
      </c>
      <c r="L4" t="str">
        <v>Fecha</v>
      </c>
      <c r="M4">
        <v>41974</v>
      </c>
    </row>
    <row r="5" ht="20.1" customHeight="1"/>
    <row r="6" ht="21" customHeight="1"/>
    <row r="7" ht="18" customHeight="1">
      <c r="A7" t="str">
        <v>Ventilador / Fan</v>
      </c>
      <c r="E7" t="str">
        <v xml:space="preserve">Rodamientos     </v>
      </c>
      <c r="H7" t="str">
        <v>Delantero</v>
      </c>
      <c r="I7" t="str">
        <v>6312 ZZ C3</v>
      </c>
      <c r="L7" t="str">
        <v>Trasero</v>
      </c>
      <c r="M7" t="str">
        <v>6310 ZZ C3</v>
      </c>
    </row>
    <row r="8" ht="18" customHeight="1">
      <c r="E8" t="str">
        <v>Bearings</v>
      </c>
      <c r="H8" t="str">
        <v>Drive End</v>
      </c>
      <c r="L8" t="str">
        <v>Non Drive End</v>
      </c>
    </row>
    <row r="9" ht="18" customHeight="1">
      <c r="A9" t="str">
        <v>Tensión / Voltage</v>
      </c>
      <c r="C9" t="str">
        <v>230/400 V</v>
      </c>
      <c r="D9" t="str">
        <v>460 V</v>
      </c>
      <c r="E9" t="str">
        <v>Momento de inercia</v>
      </c>
      <c r="H9" t="str">
        <v>J =  0,352 Kg m2</v>
      </c>
      <c r="K9" t="str">
        <v>Peso Motor</v>
      </c>
      <c r="M9" t="str">
        <v>301 Kg</v>
      </c>
    </row>
    <row r="10" ht="18" customHeight="1">
      <c r="A10" t="str">
        <v>Frec. / Frequency</v>
      </c>
      <c r="C10" t="str">
        <v>50 Hz</v>
      </c>
      <c r="D10" t="str">
        <v>60 Hz</v>
      </c>
      <c r="E10" t="str">
        <v>Rotor Inertia</v>
      </c>
      <c r="K10" t="str">
        <v>Motor Weight</v>
      </c>
    </row>
    <row r="11" ht="18" customHeight="1">
      <c r="A11" t="str">
        <v>Potencia / Power</v>
      </c>
      <c r="C11" t="str">
        <v>0,75 KW</v>
      </c>
      <c r="D11" t="str">
        <v>0,86 KW</v>
      </c>
      <c r="E11" t="str">
        <v>Protección</v>
      </c>
      <c r="G11" t="str">
        <v>IP 23</v>
      </c>
      <c r="H11" t="str">
        <v>Construcción</v>
      </c>
      <c r="J11" t="str">
        <v>IM B3 / B35</v>
      </c>
      <c r="L11" t="str">
        <v>Refrigeración</v>
      </c>
      <c r="N11" t="str">
        <v>IC06</v>
      </c>
    </row>
    <row r="12" ht="18" customHeight="1">
      <c r="A12" t="str">
        <v>Velocidad / Speed</v>
      </c>
      <c r="C12" t="str">
        <v>2850 rpm</v>
      </c>
      <c r="D12" t="str">
        <v>3350 rpm</v>
      </c>
      <c r="E12" t="str">
        <v>Protection Degree</v>
      </c>
      <c r="H12" t="str">
        <v>Mounting</v>
      </c>
      <c r="L12" t="str">
        <v>Cooling</v>
      </c>
    </row>
    <row r="13" ht="18" customHeight="1">
      <c r="A13" t="str">
        <v>Caudal / Air flow</v>
      </c>
      <c r="C13" t="str">
        <v xml:space="preserve">1200 m3/h </v>
      </c>
      <c r="E13" t="str">
        <v xml:space="preserve">Nivel de ruido </v>
      </c>
      <c r="G13" t="str">
        <v>&lt; 80 dB</v>
      </c>
      <c r="I13" t="str">
        <v>Velocidad máxima mecánica</v>
      </c>
      <c r="L13">
        <v>5000</v>
      </c>
    </row>
    <row r="14" ht="18" customHeight="1">
      <c r="A14" t="str">
        <v>Presión / Pressure</v>
      </c>
      <c r="C14" t="str">
        <v xml:space="preserve">800 Pa </v>
      </c>
      <c r="E14" t="str">
        <v xml:space="preserve">Noise Level </v>
      </c>
      <c r="I14" t="str">
        <v>Max. Mechanical Speed</v>
      </c>
    </row>
    <row r="15" ht="18" customHeight="1">
      <c r="A15" t="str">
        <v>Equilibrado grado</v>
      </c>
      <c r="C15" t="str">
        <v>A</v>
      </c>
      <c r="D15" t="str">
        <v>Aislamiento Clase</v>
      </c>
      <c r="F15" t="str">
        <v>F</v>
      </c>
      <c r="G15" t="str">
        <v>Protección Térmica</v>
      </c>
      <c r="I15" t="str">
        <v>PTC 140 ºC</v>
      </c>
      <c r="K15" t="str">
        <v>Ambiente</v>
      </c>
      <c r="L15" t="str">
        <v>&lt; 40 ºC     &lt; 1000 m</v>
      </c>
    </row>
    <row r="16" ht="18" customHeight="1">
      <c r="A16" t="str">
        <v>Balancing degree</v>
      </c>
      <c r="D16" t="str">
        <v>Insulation Class</v>
      </c>
      <c r="G16" t="str">
        <v>Thermal Protection</v>
      </c>
      <c r="K16" t="str">
        <v>Ambient</v>
      </c>
    </row>
    <row r="17" ht="18" customHeight="1">
      <c r="A17" t="str">
        <v>Freno de Bloqueo (opcional)</v>
      </c>
      <c r="E17" t="str">
        <v>300 Nm</v>
      </c>
      <c r="G17" t="str">
        <v>24 Vdc</v>
      </c>
      <c r="H17" t="str">
        <v>2.5 A</v>
      </c>
      <c r="I17" t="str">
        <v>60 W</v>
      </c>
      <c r="K17" t="str">
        <v>18 Kg</v>
      </c>
      <c r="L17" t="str">
        <v>J = 0.0017 Kg m2</v>
      </c>
    </row>
    <row r="18" ht="18" customHeight="1">
      <c r="A18" t="str">
        <v>Holding Brake (optional)</v>
      </c>
    </row>
    <row r="19" ht="18" customHeight="1">
      <c r="A19" t="str">
        <v xml:space="preserve">Tensión de Base del Motor </v>
      </c>
      <c r="E19" t="str">
        <v>Vb</v>
      </c>
      <c r="F19">
        <v>400</v>
      </c>
      <c r="H19" t="str">
        <v>Tensión Máxima de Salida del Convertidor</v>
      </c>
      <c r="L19" t="str">
        <v>Vc</v>
      </c>
      <c r="M19">
        <v>400</v>
      </c>
    </row>
    <row r="20" ht="18" customHeight="1">
      <c r="A20" t="str">
        <v>Motor Base Voltage</v>
      </c>
      <c r="H20" t="str">
        <v>Inverter max. Output Voltage</v>
      </c>
    </row>
    <row r="21" ht="18" customHeight="1">
      <c r="F21" t="str">
        <f>IF(F19&gt;500," Vb   ha de ser / must be  &lt; 500 V"," ")</f>
        <v xml:space="preserve"> </v>
      </c>
      <c r="G21" t="str">
        <f>IF(M19&gt;500,"  Vc   ha de ser / must be   &lt; 500 V"," ")</f>
        <v xml:space="preserve"> </v>
      </c>
      <c r="N21" t="str">
        <f>IF(M19&lt;F19,"Vc   ha de ser / must be   &gt; Vb"," ")</f>
        <v xml:space="preserve"> </v>
      </c>
    </row>
    <row r="22" ht="18" customHeight="1">
      <c r="B22" t="str">
        <v>Servicio / Service S1</v>
      </c>
      <c r="H22" t="str">
        <v>Servicio / Service  S6 -</v>
      </c>
      <c r="L22">
        <v>0.2</v>
      </c>
      <c r="M22" t="str">
        <f>IF(L22&gt;80%,"max 80%","")</f>
        <v/>
      </c>
    </row>
    <row r="23" ht="18" customHeight="1">
      <c r="M23" t="str">
        <f>IF(L22&lt;20%,"min 20%","")</f>
        <v/>
      </c>
    </row>
    <row r="24" ht="105" customHeight="1">
      <c r="A24" t="str">
        <v>Bobinado          Winding</v>
      </c>
      <c r="B24" t="str">
        <v>Nm</v>
      </c>
      <c r="C24" t="str">
        <v>A</v>
      </c>
      <c r="D24" t="str">
        <v>KW</v>
      </c>
      <c r="E24" t="str">
        <v>rpm</v>
      </c>
      <c r="F24" t="str">
        <v>Hz</v>
      </c>
      <c r="G24" t="str">
        <v>Velocidad a Pot.Cte Const. Power Speed. (rpm)</v>
      </c>
      <c r="H24" t="str">
        <v>Nm</v>
      </c>
      <c r="I24" t="str">
        <v>A</v>
      </c>
      <c r="J24" t="str">
        <v>KW</v>
      </c>
      <c r="K24" t="str">
        <v>rpm</v>
      </c>
      <c r="L24" t="str">
        <v>Hz</v>
      </c>
      <c r="M24" t="str">
        <v>Velocidad a Pot.Cte Const. Power Speed. (rpm)</v>
      </c>
      <c r="N24" t="str">
        <v>Corriente en vacio       No Load Current          (A)</v>
      </c>
      <c r="P24" t="str">
        <v>Hz</v>
      </c>
      <c r="Q24" t="str">
        <v>rpm</v>
      </c>
      <c r="R24" t="str">
        <v>rpm llisc.</v>
      </c>
    </row>
    <row r="25" ht="18" customHeight="1">
      <c r="A25" t="str">
        <v>A41</v>
      </c>
      <c r="B25">
        <v>510</v>
      </c>
      <c r="C25">
        <v>50</v>
      </c>
      <c r="D25">
        <f>E25*$B25*PI()/30000</f>
        <v>25.849024353736816</v>
      </c>
      <c r="E25">
        <f>TRUNC((F25*30-$R25),0)</f>
        <v>484</v>
      </c>
      <c r="F25">
        <f>$P25*$F$19/400</f>
        <v>17</v>
      </c>
      <c r="G25">
        <f>IF( E25*2.9*($M$19/$F$19)^2&gt;$L$13,$L$13,TRUNC(E25*0.29*($M$19/$F$19)^2)*10)</f>
        <v>1400</v>
      </c>
      <c r="H25">
        <f>B25/((C25^2-N25^2)^0.5)*(I25^2-N25^2)^0.5</f>
        <v>1070.9050493732575</v>
      </c>
      <c r="I25">
        <f>IF(AND($L$22&gt;=20%,$L$22&lt;=80%)=TRUE,((C25^2*0.9-N25^2*(1-$L$22))/$L$22)^0.5,0)</f>
        <v>98.55637980364335</v>
      </c>
      <c r="J25">
        <f>K25*H25*157/1500000</f>
        <v>54.250621927850055</v>
      </c>
      <c r="K25">
        <f>E25</f>
        <v>484</v>
      </c>
      <c r="L25">
        <f>$P25*$F$19/400+R25*(H25/B25-1)/30</f>
        <v>17.953171979327102</v>
      </c>
      <c r="M25">
        <f>TRUNC(IF(G25&lt;$L$13,G25*(D25/J25)^(1/1.3),IF(M24*L25/L24&lt;$L$13,M24*K25/K24,$L$13)),-1)</f>
        <v>790</v>
      </c>
      <c r="N25">
        <v>19.6</v>
      </c>
      <c r="P25">
        <v>17</v>
      </c>
      <c r="Q25">
        <v>484</v>
      </c>
      <c r="R25">
        <f>P25*30-Q25</f>
        <v>26</v>
      </c>
    </row>
    <row r="26" ht="18" customHeight="1">
      <c r="A26" t="str">
        <v>B41</v>
      </c>
      <c r="B26">
        <v>510</v>
      </c>
      <c r="C26">
        <v>58.1</v>
      </c>
      <c r="D26">
        <f>E26*$B26*PI()/30000</f>
        <v>30.6556611137292</v>
      </c>
      <c r="E26">
        <f>TRUNC((F26*30-$R26),0)</f>
        <v>574</v>
      </c>
      <c r="F26">
        <f>$P26*$F$19/400</f>
        <v>20</v>
      </c>
      <c r="G26">
        <f>IF( E26*2.9*($M$19/$F$19)^2&gt;$L$13,$L$13,TRUNC(E26*0.29*($M$19/$F$19)^2)*10)</f>
        <v>1660</v>
      </c>
      <c r="H26">
        <f>B26/((C26^2-N26^2)^0.5)*(I26^2-N26^2)^0.5</f>
        <v>1070.8766538827722</v>
      </c>
      <c r="I26">
        <f>IF(AND($L$22&gt;=20%,$L$22&lt;=80%)=TRUE,((C26^2*0.9-N26^2*(1-$L$22))/$L$22)^0.5,0)</f>
        <v>114.50277289218806</v>
      </c>
      <c r="J26">
        <f>K26*H26*157/1500000</f>
        <v>64.33684152973845</v>
      </c>
      <c r="K26">
        <f>E26</f>
        <v>574</v>
      </c>
      <c r="L26">
        <f>$P26*$F$19/400+R26*(H26/B26-1)/30</f>
        <v>20.953123725552423</v>
      </c>
      <c r="M26">
        <f>TRUNC(IF(G26&lt;$L$13,G26*(D26/J26)^(1/1.3),IF(M25*L26/L25&lt;$L$13,M25*K26/K25,$L$13)),-1)</f>
        <v>930</v>
      </c>
      <c r="N26">
        <v>22.8</v>
      </c>
      <c r="P26">
        <v>20</v>
      </c>
      <c r="Q26">
        <v>574</v>
      </c>
      <c r="R26">
        <f>P26*30-Q26</f>
        <v>26</v>
      </c>
    </row>
    <row r="27" ht="18" customHeight="1">
      <c r="A27" t="str">
        <v>C41</v>
      </c>
      <c r="B27">
        <v>510</v>
      </c>
      <c r="C27">
        <v>69.7</v>
      </c>
      <c r="D27">
        <f>E27*$B27*PI()/30000</f>
        <v>37.117917202163405</v>
      </c>
      <c r="E27">
        <f>TRUNC((F27*30-$R27),0)</f>
        <v>695</v>
      </c>
      <c r="F27">
        <f>$P27*$F$19/400</f>
        <v>24</v>
      </c>
      <c r="G27">
        <f>IF( E27*2.9*($M$19/$F$19)^2&gt;$L$13,$L$13,TRUNC(E27*0.29*($M$19/$F$19)^2)*10)</f>
        <v>2010</v>
      </c>
      <c r="H27">
        <f>B27/((C27^2-N27^2)^0.5)*(I27^2-N27^2)^0.5</f>
        <v>1069.4272348905636</v>
      </c>
      <c r="I27">
        <f>IF(AND($L$22&gt;=20%,$L$22&lt;=80%)=TRUE,((C27^2*0.9-N27^2*(1-$L$22))/$L$22)^0.5,0)</f>
        <v>136.17505278133729</v>
      </c>
      <c r="J27">
        <f>K27*H27*157/1500000</f>
        <v>77.79370182338923</v>
      </c>
      <c r="K27">
        <f>E27</f>
        <v>695</v>
      </c>
      <c r="L27">
        <f>$P27*$F$19/400+R27*(H27/B27-1)/30</f>
        <v>24.91409678903687</v>
      </c>
      <c r="M27">
        <f>TRUNC(IF(G27&lt;$L$13,G27*(D27/J27)^(1/1.3),IF(M26*L27/L26&lt;$L$13,M26*K27/K26,$L$13)),-1)</f>
        <v>1130</v>
      </c>
      <c r="N27">
        <v>28.8</v>
      </c>
      <c r="P27">
        <v>24</v>
      </c>
      <c r="Q27">
        <v>695</v>
      </c>
      <c r="R27">
        <f>P27*30-Q27</f>
        <v>25</v>
      </c>
    </row>
    <row r="28" ht="18" customHeight="1">
      <c r="A28" t="str">
        <v>D41</v>
      </c>
      <c r="B28">
        <v>510</v>
      </c>
      <c r="C28">
        <v>86.7</v>
      </c>
      <c r="D28">
        <f>E28*$B28*PI()/30000</f>
        <v>48.279995900367936</v>
      </c>
      <c r="E28">
        <f>TRUNC((F28*30-$R28),0)</f>
        <v>904</v>
      </c>
      <c r="F28">
        <f>$P28*$F$19/400</f>
        <v>31</v>
      </c>
      <c r="G28">
        <f>IF( E28*2.9*($M$19/$F$19)^2&gt;$L$13,$L$13,TRUNC(E28*0.29*($M$19/$F$19)^2)*10)</f>
        <v>2620</v>
      </c>
      <c r="H28">
        <f>B28/((C28^2-N28^2)^0.5)*(I28^2-N28^2)^0.5</f>
        <v>1072.143203637995</v>
      </c>
      <c r="I28">
        <f>IF(AND($L$22&gt;=20%,$L$22&lt;=80%)=TRUE,((C28^2*0.9-N28^2*(1-$L$22))/$L$22)^0.5,0)</f>
        <v>172.20001451800172</v>
      </c>
      <c r="J28">
        <f>K28*H28*157/1500000</f>
        <v>101.44476040395556</v>
      </c>
      <c r="K28">
        <f>E28</f>
        <v>904</v>
      </c>
      <c r="L28">
        <f>$P28*$F$19/400+R28*(H28/B28-1)/30</f>
        <v>31.955276032326005</v>
      </c>
      <c r="M28">
        <f>TRUNC(IF(G28&lt;$L$13,G28*(D28/J28)^(1/1.3),IF(M27*L28/L27&lt;$L$13,M27*K28/K27,$L$13)),-1)</f>
        <v>1470</v>
      </c>
      <c r="N28">
        <v>32.3</v>
      </c>
      <c r="P28">
        <v>31</v>
      </c>
      <c r="Q28">
        <v>904</v>
      </c>
      <c r="R28">
        <f>P28*30-Q28</f>
        <v>26</v>
      </c>
    </row>
    <row r="29" ht="18" customHeight="1">
      <c r="A29" t="str">
        <v>E41</v>
      </c>
      <c r="B29">
        <v>510</v>
      </c>
      <c r="C29">
        <v>103.5</v>
      </c>
      <c r="D29">
        <f>E29*$B29*PI()/30000</f>
        <v>57.89326942035271</v>
      </c>
      <c r="E29">
        <f>TRUNC((F29*30-$R29),0)</f>
        <v>1084</v>
      </c>
      <c r="F29">
        <f>$P29*$F$19/400</f>
        <v>37</v>
      </c>
      <c r="G29">
        <f>IF( E29*2.9*($M$19/$F$19)^2&gt;$L$13,$L$13,TRUNC(E29*0.29*($M$19/$F$19)^2)*10)</f>
        <v>3140</v>
      </c>
      <c r="H29">
        <f>B29/((C29^2-N29^2)^0.5)*(I29^2-N29^2)^0.5</f>
        <v>1071.2678496150295</v>
      </c>
      <c r="I29">
        <f>IF(AND($L$22&gt;=20%,$L$22&lt;=80%)=TRUE,((C29^2*0.9-N29^2*(1-$L$22))/$L$22)^0.5,0)</f>
        <v>204.46301621564714</v>
      </c>
      <c r="J29">
        <f>K29*H29*157/1500000</f>
        <v>121.54462186018843</v>
      </c>
      <c r="K29">
        <f>E29</f>
        <v>1084</v>
      </c>
      <c r="L29">
        <f>$P29*$F$19/400+R29*(H29/B29-1)/30</f>
        <v>37.953788502613776</v>
      </c>
      <c r="M29">
        <f>TRUNC(IF(G29&lt;$L$13,G29*(D29/J29)^(1/1.3),IF(M28*L29/L28&lt;$L$13,M28*K29/K28,$L$13)),-1)</f>
        <v>1770</v>
      </c>
      <c r="N29">
        <v>40</v>
      </c>
      <c r="P29">
        <v>37</v>
      </c>
      <c r="Q29">
        <v>1084</v>
      </c>
      <c r="R29">
        <f>P29*30-Q29</f>
        <v>26</v>
      </c>
    </row>
    <row r="30" ht="18" customHeight="1">
      <c r="A30" t="str">
        <v>F41</v>
      </c>
      <c r="B30">
        <v>510</v>
      </c>
      <c r="C30">
        <v>115</v>
      </c>
      <c r="D30">
        <f>E30*$B30*PI()/30000</f>
        <v>64.30211843367589</v>
      </c>
      <c r="E30">
        <f>TRUNC((F30*30-$R30),0)</f>
        <v>1204</v>
      </c>
      <c r="F30">
        <f>$P30*$F$19/400</f>
        <v>41</v>
      </c>
      <c r="G30">
        <f>IF( E30*2.9*($M$19/$F$19)^2&gt;$L$13,$L$13,TRUNC(E30*0.29*($M$19/$F$19)^2)*10)</f>
        <v>3490</v>
      </c>
      <c r="H30">
        <f>B30/((C30^2-N30^2)^0.5)*(I30^2-N30^2)^0.5</f>
        <v>1070.4830801008293</v>
      </c>
      <c r="I30">
        <f>IF(AND($L$22&gt;=20%,$L$22&lt;=80%)=TRUE,((C30^2*0.9-N30^2*(1-$L$22))/$L$22)^0.5,0)</f>
        <v>226.10161432417945</v>
      </c>
      <c r="J30">
        <f>K30*H30*157/1500000</f>
        <v>134.90085044353305</v>
      </c>
      <c r="K30">
        <f>E30</f>
        <v>1204</v>
      </c>
      <c r="L30">
        <f>$P30*$F$19/400+R30*(H30/B30-1)/30</f>
        <v>41.95245490736089</v>
      </c>
      <c r="M30">
        <f>TRUNC(IF(G30&lt;$L$13,G30*(D30/J30)^(1/1.3),IF(M29*L30/L29&lt;$L$13,M29*K30/K29,$L$13)),-1)</f>
        <v>1970</v>
      </c>
      <c r="N30">
        <v>45.8</v>
      </c>
      <c r="P30">
        <v>41</v>
      </c>
      <c r="Q30">
        <v>1204</v>
      </c>
      <c r="R30">
        <f>P30*30-Q30</f>
        <v>26</v>
      </c>
    </row>
    <row r="31" ht="18" customHeight="1">
      <c r="A31" t="str">
        <v>G41</v>
      </c>
      <c r="B31">
        <v>510</v>
      </c>
      <c r="C31">
        <v>129.5</v>
      </c>
      <c r="D31">
        <f>E31*$B31*PI()/30000</f>
        <v>72.36658677544088</v>
      </c>
      <c r="E31">
        <f>TRUNC((F31*30-$R31),0)</f>
        <v>1355</v>
      </c>
      <c r="F31">
        <f>$P31*$F$19/400</f>
        <v>46</v>
      </c>
      <c r="G31">
        <f>IF( E31*2.9*($M$19/$F$19)^2&gt;$L$13,$L$13,TRUNC(E31*0.29*($M$19/$F$19)^2)*10)</f>
        <v>3920</v>
      </c>
      <c r="H31">
        <f>B31/((C31^2-N31^2)^0.5)*(I31^2-N31^2)^0.5</f>
        <v>1069.6565637092915</v>
      </c>
      <c r="I31">
        <f>IF(AND($L$22&gt;=20%,$L$22&lt;=80%)=TRUE,((C31^2*0.9-N31^2*(1-$L$22))/$L$22)^0.5,0)</f>
        <v>253.35288630682697</v>
      </c>
      <c r="J31">
        <f>K31*H31*157/1500000</f>
        <v>151.70225938713077</v>
      </c>
      <c r="K31">
        <f>E31</f>
        <v>1355</v>
      </c>
      <c r="L31">
        <f>$P31*$F$19/400+R31*(H31/B31-1)/30</f>
        <v>46.914471509328905</v>
      </c>
      <c r="M31">
        <f>TRUNC(IF(G31&lt;$L$13,G31*(D31/J31)^(1/1.3),IF(M30*L31/L30&lt;$L$13,M30*K31/K30,$L$13)),-1)</f>
        <v>2210</v>
      </c>
      <c r="N31">
        <v>53.1</v>
      </c>
      <c r="P31">
        <v>46</v>
      </c>
      <c r="Q31">
        <v>1355</v>
      </c>
      <c r="R31">
        <f>P31*30-Q31</f>
        <v>25</v>
      </c>
    </row>
    <row r="32" ht="18" customHeight="1">
      <c r="A32" t="str">
        <v>H41</v>
      </c>
      <c r="B32">
        <v>510</v>
      </c>
      <c r="C32">
        <v>147.6</v>
      </c>
      <c r="D32">
        <f>E32*$B32*PI()/30000</f>
        <v>83.52866547364542</v>
      </c>
      <c r="E32">
        <f>TRUNC((F32*30-$R32),0)</f>
        <v>1564</v>
      </c>
      <c r="F32">
        <f>$P32*$F$19/400</f>
        <v>53</v>
      </c>
      <c r="G32">
        <f>IF( E32*2.9*($M$19/$F$19)^2&gt;$L$13,$L$13,TRUNC(E32*0.29*($M$19/$F$19)^2)*10)</f>
        <v>4530</v>
      </c>
      <c r="H32">
        <f>B32/((C32^2-N32^2)^0.5)*(I32^2-N32^2)^0.5</f>
        <v>1070.4289497390516</v>
      </c>
      <c r="I32">
        <f>IF(AND($L$22&gt;=20%,$L$22&lt;=80%)=TRUE,((C32^2*0.9-N32^2*(1-$L$22))/$L$22)^0.5,0)</f>
        <v>290.1018441857962</v>
      </c>
      <c r="J32">
        <f>K32*H32*157/1500000</f>
        <v>175.22779183368309</v>
      </c>
      <c r="K32">
        <f>E32</f>
        <v>1564</v>
      </c>
      <c r="L32">
        <f>$P32*$F$19/400+R32*(H32/B32-1)/30</f>
        <v>53.952362921125186</v>
      </c>
      <c r="M32">
        <f>TRUNC(IF(G32&lt;$L$13,G32*(D32/J32)^(1/1.3),IF(M31*L32/L31&lt;$L$13,M31*K32/K31,$L$13)),-1)</f>
        <v>2560</v>
      </c>
      <c r="N32">
        <v>58.9</v>
      </c>
      <c r="P32">
        <v>53</v>
      </c>
      <c r="Q32">
        <v>1564</v>
      </c>
      <c r="R32">
        <f>P32*30-Q32</f>
        <v>26</v>
      </c>
    </row>
    <row r="33" ht="18" customHeight="1">
      <c r="A33" t="str">
        <v>I41</v>
      </c>
      <c r="B33">
        <v>510</v>
      </c>
      <c r="C33">
        <v>172.1</v>
      </c>
      <c r="D33">
        <f>E33*$B33*PI()/30000</f>
        <v>97.94857575362256</v>
      </c>
      <c r="E33">
        <f>TRUNC((F33*30-$R33),0)</f>
        <v>1834</v>
      </c>
      <c r="F33">
        <f>$P33*$F$19/400</f>
        <v>62</v>
      </c>
      <c r="G33">
        <f>IF( E33*2.9*($M$19/$F$19)^2&gt;$L$13,$L$13,TRUNC(E33*0.29*($M$19/$F$19)^2)*10)</f>
        <v>5000</v>
      </c>
      <c r="H33">
        <f>B33/((C33^2-N33^2)^0.5)*(I33^2-N33^2)^0.5</f>
        <v>1070.3797571085493</v>
      </c>
      <c r="I33">
        <f>IF(AND($L$22&gt;=20%,$L$22&lt;=80%)=TRUE,((C33^2*0.9-N33^2*(1-$L$22))/$L$22)^0.5,0)</f>
        <v>338.15541545271753</v>
      </c>
      <c r="J33">
        <f>K33*H33*157/1500000</f>
        <v>205.46867100154762</v>
      </c>
      <c r="K33">
        <f>E33</f>
        <v>1834</v>
      </c>
      <c r="L33">
        <f>$P33*$F$19/400+R33*(H33/B33-1)/30</f>
        <v>62.95227932580538</v>
      </c>
      <c r="M33">
        <f>TRUNC(IF(G33&lt;$L$13,G33*(D33/J33)^(1/1.3),IF(M32*L33/L32&lt;$L$13,M32*K33/K32,$L$13)),-1)</f>
        <v>3000</v>
      </c>
      <c r="N33">
        <v>68.8</v>
      </c>
      <c r="P33">
        <v>62</v>
      </c>
      <c r="Q33">
        <v>1834</v>
      </c>
      <c r="R33">
        <f>P33*30-Q33</f>
        <v>26</v>
      </c>
    </row>
    <row r="34" ht="18" customHeight="1">
      <c r="A34" t="str">
        <v>F42</v>
      </c>
      <c r="B34">
        <v>510</v>
      </c>
      <c r="C34">
        <v>198.4</v>
      </c>
      <c r="D34">
        <f>E34*$B34*PI()/30000</f>
        <v>113.97069828693051</v>
      </c>
      <c r="E34">
        <f>TRUNC((F34*30-$R34),0)</f>
        <v>2134</v>
      </c>
      <c r="F34">
        <f>$P34*$F$19/400</f>
        <v>72</v>
      </c>
      <c r="G34">
        <f>IF( E34*2.9*($M$19/$F$19)^2&gt;$L$13,$L$13,TRUNC(E34*0.29*($M$19/$F$19)^2)*10)</f>
        <v>5000</v>
      </c>
      <c r="H34">
        <f>B34/((C34^2-N34^2)^0.5)*(I34^2-N34^2)^0.5</f>
        <v>1070.8959351425356</v>
      </c>
      <c r="I34">
        <f>IF(AND($L$22&gt;=20%,$L$22&lt;=80%)=TRUE,((C34^2*0.9-N34^2*(1-$L$22))/$L$22)^0.5,0)</f>
        <v>391.0500735200033</v>
      </c>
      <c r="J34">
        <f>K34*H34*157/1500000</f>
        <v>239.1938882121899</v>
      </c>
      <c r="K34">
        <f>E34</f>
        <v>2134</v>
      </c>
      <c r="L34">
        <f>$P34*$F$19/400+R34*(H34/B34-1)/30</f>
        <v>72.95315649109189</v>
      </c>
      <c r="M34">
        <f>TRUNC(IF(G34&lt;$L$13,G34*(D34/J34)^(1/1.3),IF(M33*L34/L33&lt;$L$13,M33*K34/K33,$L$13)),-1)</f>
        <v>3490</v>
      </c>
      <c r="N34">
        <v>77.8</v>
      </c>
      <c r="P34">
        <v>72</v>
      </c>
      <c r="Q34">
        <v>2134</v>
      </c>
      <c r="R34">
        <f>P34*30-Q34</f>
        <v>26</v>
      </c>
    </row>
    <row r="35" ht="18" customHeight="1">
      <c r="A35" t="str">
        <v>G42</v>
      </c>
      <c r="B35">
        <v>500</v>
      </c>
      <c r="C35">
        <v>220.7</v>
      </c>
      <c r="D35">
        <f>E35*$B35*PI()/30000</f>
        <v>124.35470920459598</v>
      </c>
      <c r="E35">
        <f>TRUNC((F35*30-$R35),0)</f>
        <v>2375</v>
      </c>
      <c r="F35">
        <f>$P35*$F$19/400</f>
        <v>80</v>
      </c>
      <c r="G35">
        <f>IF( E35*2.9*($M$19/$F$19)^2&gt;$L$13,$L$13,TRUNC(E35*0.29*($M$19/$F$19)^2)*10)</f>
        <v>5000</v>
      </c>
      <c r="H35">
        <f>B35/((C35^2-N35^2)^0.5)*(I35^2-N35^2)^0.5</f>
        <v>1047.2433122670175</v>
      </c>
      <c r="I35">
        <f>IF(AND($L$22&gt;=20%,$L$22&lt;=80%)=TRUE,((C35^2*0.9-N35^2*(1-$L$22))/$L$22)^0.5,0)</f>
        <v>428.06546812374387</v>
      </c>
      <c r="J35">
        <f>K35*H35*157/1500000</f>
        <v>260.3272333743761</v>
      </c>
      <c r="K35">
        <f>E35</f>
        <v>2375</v>
      </c>
      <c r="L35">
        <f>$P35*$F$19/400+R35*(H35/B35-1)/30</f>
        <v>80.91207218711169</v>
      </c>
      <c r="M35">
        <f>TRUNC(IF(G35&lt;$L$13,G35*(D35/J35)^(1/1.3),IF(M34*L35/L34&lt;$L$13,M34*K35/K34,$L$13)),-1)</f>
        <v>3880</v>
      </c>
      <c r="N35">
        <v>94.8</v>
      </c>
      <c r="P35">
        <v>80</v>
      </c>
      <c r="Q35">
        <v>2375</v>
      </c>
      <c r="R35">
        <f>P35*30-Q35</f>
        <v>25</v>
      </c>
    </row>
    <row r="36" ht="18" customHeight="1">
      <c r="A36" t="str">
        <v>H42</v>
      </c>
      <c r="B36">
        <v>490</v>
      </c>
      <c r="C36">
        <v>247.6</v>
      </c>
      <c r="D36">
        <f>E36*$B36*PI()/30000</f>
        <v>140.3914925036207</v>
      </c>
      <c r="E36">
        <f>TRUNC((F36*30-$R36),0)</f>
        <v>2736</v>
      </c>
      <c r="F36">
        <f>$P36*$F$19/400</f>
        <v>92</v>
      </c>
      <c r="G36">
        <f>IF( E36*2.9*($M$19/$F$19)^2&gt;$L$13,$L$13,TRUNC(E36*0.29*($M$19/$F$19)^2)*10)</f>
        <v>5000</v>
      </c>
      <c r="H36">
        <f>B36/((C36^2-N36^2)^0.5)*(I36^2-N36^2)^0.5</f>
        <v>1026.4668538755643</v>
      </c>
      <c r="I36">
        <f>IF(AND($L$22&gt;=20%,$L$22&lt;=80%)=TRUE,((C36^2*0.9-N36^2*(1-$L$22))/$L$22)^0.5,0)</f>
        <v>480.73002818629914</v>
      </c>
      <c r="J36">
        <f>K36*H36*157/1500000</f>
        <v>293.94726001063754</v>
      </c>
      <c r="K36">
        <f>E36</f>
        <v>2736</v>
      </c>
      <c r="L36">
        <f>$P36*$F$19/400+R36*(H36/B36-1)/30</f>
        <v>92.87586425122541</v>
      </c>
      <c r="M36">
        <f>TRUNC(IF(G36&lt;$L$13,G36*(D36/J36)^(1/1.3),IF(M35*L36/L35&lt;$L$13,M35*K36/K35,$L$13)),-1)</f>
        <v>4460</v>
      </c>
      <c r="N36">
        <v>105.8</v>
      </c>
      <c r="P36">
        <v>92</v>
      </c>
      <c r="Q36">
        <v>2736</v>
      </c>
      <c r="R36">
        <f>P36*30-Q36</f>
        <v>24</v>
      </c>
    </row>
    <row r="37" ht="18" customHeight="1">
      <c r="A37" t="str">
        <v>I42</v>
      </c>
      <c r="B37">
        <v>480</v>
      </c>
      <c r="C37">
        <v>284.9</v>
      </c>
      <c r="D37">
        <f>E37*$B37*PI()/30000</f>
        <v>160.14582710939328</v>
      </c>
      <c r="E37">
        <f>TRUNC((F37*30-$R37),0)</f>
        <v>3186</v>
      </c>
      <c r="F37">
        <f>$P37*$F$19/400</f>
        <v>107</v>
      </c>
      <c r="G37">
        <f>IF( E37*2.9*($M$19/$F$19)^2&gt;$L$13,$L$13,TRUNC(E37*0.29*($M$19/$F$19)^2)*10)</f>
        <v>5000</v>
      </c>
      <c r="H37">
        <f>B37/((C37^2-N37^2)^0.5)*(I37^2-N37^2)^0.5</f>
        <v>1004.135298271779</v>
      </c>
      <c r="I37">
        <f>IF(AND($L$22&gt;=20%,$L$22&lt;=80%)=TRUE,((C37^2*0.9-N37^2*(1-$L$22))/$L$22)^0.5,0)</f>
        <v>548.4902961766962</v>
      </c>
      <c r="J37">
        <f>K37*H37*157/1500000</f>
        <v>334.8469896440936</v>
      </c>
      <c r="K37">
        <f>E37</f>
        <v>3186</v>
      </c>
      <c r="L37">
        <f>$P37*$F$19/400+R37*(H37/B37-1)/30</f>
        <v>107.87355883045296</v>
      </c>
      <c r="M37">
        <f>TRUNC(IF(G37&lt;$L$13,G37*(D37/J37)^(1/1.3),IF(M33*L37/L33&lt;$L$13,M33*K37/K33,$L$13)),-1)</f>
        <v>5000</v>
      </c>
      <c r="N37">
        <v>126.9</v>
      </c>
      <c r="P37">
        <v>107</v>
      </c>
      <c r="Q37">
        <v>3186</v>
      </c>
      <c r="R37">
        <f>P37*30-Q37</f>
        <v>24</v>
      </c>
    </row>
    <row r="38" ht="15" customHeight="1"/>
    <row r="39" ht="19.5" customHeight="1">
      <c r="A39" t="str">
        <v>Otras velocidades disponibles bajo consulta a nuestra O.T. / Other speeds available on request</v>
      </c>
    </row>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c r="A67" t="str">
        <v>Datos Técnicos sujetos a modificaciones sin previo aviso / Technical data are subject to changes without prior notice</v>
      </c>
    </row>
    <row r="68" ht="15" customHeight="1">
      <c r="A68" t="str">
        <v>Elabora:</v>
      </c>
      <c r="E68" t="str">
        <v>Revisa:</v>
      </c>
      <c r="K68" t="str">
        <v>Aprueba:</v>
      </c>
    </row>
    <row r="69" ht="15" customHeight="1"/>
    <row r="70" ht="15" customHeight="1"/>
    <row r="71" ht="20.1" customHeight="1"/>
    <row r="72" ht="20.1" customHeight="1">
      <c r="D72" t="str">
        <f>D2</f>
        <v>MOTOR MAC QI 160 L</v>
      </c>
    </row>
    <row r="73" ht="20.1" customHeight="1">
      <c r="D73" t="str">
        <v xml:space="preserve"> - Hoja de Curvas Características -</v>
      </c>
      <c r="L73" t="str">
        <v xml:space="preserve">Página </v>
      </c>
      <c r="M73" t="str">
        <v xml:space="preserve"> 1/1</v>
      </c>
    </row>
    <row r="74" ht="20.1" customHeight="1">
      <c r="D74" t="str">
        <v xml:space="preserve"> - Power and Torque Diagrams -</v>
      </c>
      <c r="L74" t="str">
        <v>Fecha</v>
      </c>
      <c r="M74">
        <f>M4</f>
        <v>41974</v>
      </c>
    </row>
    <row r="75" ht="20.1" customHeight="1"/>
    <row r="76" ht="20.1" customHeight="1"/>
    <row r="77" ht="18" customHeight="1">
      <c r="A77" t="str">
        <f>A19</f>
        <v xml:space="preserve">Tensión de Base del Motor </v>
      </c>
      <c r="E77">
        <f>F19</f>
        <v>400</v>
      </c>
      <c r="G77" t="str">
        <f>H19</f>
        <v>Tensión Máxima de Salida del Convertidor</v>
      </c>
      <c r="M77">
        <f>M19</f>
        <v>400</v>
      </c>
    </row>
    <row r="78" ht="18" customHeight="1">
      <c r="A78" t="str">
        <f>A20</f>
        <v>Motor Base Voltage</v>
      </c>
      <c r="G78" t="str">
        <f>H20</f>
        <v>Inverter max. Output Voltage</v>
      </c>
    </row>
    <row r="79" ht="18" customHeight="1">
      <c r="F79" t="str">
        <f>IF(E77&gt;500," LA TENSIÓN DE BASE HA DE SER INFERIOR O IGUAL A 500 V"," ")</f>
        <v xml:space="preserve"> </v>
      </c>
      <c r="G79" t="str">
        <f>IF(M77&gt;500," LA TENSIÓN MÁXIMA HA DE SER INFERIOR O IGUAL A 500 V"," ")</f>
        <v xml:space="preserve"> </v>
      </c>
      <c r="N79" t="str">
        <f>IF(M77&lt;E77," LA TENSIÓN MÁXIMA HA DE SER SUPERIOR O IGUAL A LA DE BASE"," ")</f>
        <v xml:space="preserve"> </v>
      </c>
    </row>
    <row r="80" ht="18" customHeight="1">
      <c r="B80" t="str">
        <f>B22</f>
        <v>Servicio / Service S1</v>
      </c>
      <c r="H80" t="str">
        <f>H22</f>
        <v>Servicio / Service  S6 -</v>
      </c>
      <c r="L80">
        <f>L22</f>
        <v>0.2</v>
      </c>
    </row>
    <row r="81" ht="18" customHeight="1">
      <c r="B81">
        <f>B27</f>
        <v>510</v>
      </c>
      <c r="K81">
        <f>H27</f>
        <v>1069.4272348905636</v>
      </c>
      <c r="L81">
        <f>L27</f>
        <v>24.91409678903687</v>
      </c>
    </row>
    <row r="82" ht="105" customHeight="1">
      <c r="A82" t="str">
        <v>Bobinado           Winding</v>
      </c>
      <c r="B82" t="str">
        <v>Nm</v>
      </c>
      <c r="C82" t="str">
        <v>A</v>
      </c>
      <c r="D82" t="str">
        <v>KW</v>
      </c>
      <c r="E82" t="str">
        <v>rpm</v>
      </c>
      <c r="F82" t="str">
        <v>Hz</v>
      </c>
      <c r="G82" t="str">
        <v>Velocidad a Pot.Cte Const. Power Speed. (rpm)</v>
      </c>
      <c r="H82" t="str">
        <v>Nm</v>
      </c>
      <c r="I82" t="str">
        <v>A</v>
      </c>
      <c r="J82" t="str">
        <v>KW</v>
      </c>
      <c r="K82" t="str">
        <v>rpm</v>
      </c>
      <c r="L82" t="str">
        <v>Hz</v>
      </c>
      <c r="M82" t="str">
        <v>Velocidad a Pot.Cte Const. Power Speed. (rpm)</v>
      </c>
      <c r="N82" t="str">
        <v>Corriente en vacio       No Load Current          (A)</v>
      </c>
    </row>
    <row r="83" ht="24.899999999999995" customHeight="1">
      <c r="A83" t="str">
        <v>F42</v>
      </c>
      <c r="B83">
        <f>IF($A$83&lt;$A30,IF($A$83=$A25,B25,IF($A$83=$A26,B26,IF($A$83=$A27,B27,IF($A$83=$A28,B28,IF($A$83=$A29,B29,0.0001))))),IF($A$83&lt;$A32,IF($A$83=$A30,B30,IF($A$83=$A31,B31,IF($A$83=$A34,B34,IF($A$83=$A35,B35,0.0001)))),IF($A$83=$A32,B32,IF($A$83=$A33,B33,IF($A$83=$A36,B36,IF($A$83=$A37,B37,0.0001))))))</f>
        <v>510</v>
      </c>
      <c r="C83">
        <f>IF($A$83&lt;$A30,IF($A$83=$A25,C25,IF($A$83=$A26,C26,IF($A$83=$A27,C27,IF($A$83=$A28,C28,IF($A$83=$A29,C29,0.0001))))),IF($A$83&lt;$A32,IF($A$83=$A30,C30,IF($A$83=$A31,C31,IF($A$83=$A34,C34,IF($A$83=$A35,C35,0.0001)))),IF($A$83=$A32,C32,IF($A$83=$A33,C33,IF($A$83=$A36,C36,IF($A$83=$A37,C37,0.0001))))))</f>
        <v>198.4</v>
      </c>
      <c r="D83">
        <f>IF($A$83&lt;$A30,IF($A$83=$A25,D25,IF($A$83=$A26,D26,IF($A$83=$A27,D27,IF($A$83=$A28,D28,IF($A$83=$A29,D29,0.0001))))),IF($A$83&lt;$A32,IF($A$83=$A30,D30,IF($A$83=$A31,D31,IF($A$83=$A34,D34,IF($A$83=$A35,D35,0.0001)))),IF($A$83=$A32,D32,IF($A$83=$A33,D33,IF($A$83=$A36,D36,IF($A$83=$A37,D37,0.0001))))))</f>
        <v>113.97069828693051</v>
      </c>
      <c r="E83">
        <f>IF($A$83&lt;$A30,IF($A$83=$A25,E25,IF($A$83=$A26,E26,IF($A$83=$A27,E27,IF($A$83=$A28,E28,IF($A$83=$A29,E29,0.0001))))),IF($A$83&lt;$A32,IF($A$83=$A30,E30,IF($A$83=$A31,E31,IF($A$83=$A34,E34,IF($A$83=$A35,E35,0.0001)))),IF($A$83=$A32,E32,IF($A$83=$A33,E33,IF($A$83=$A36,E36,IF($A$83=$A37,E37,0.0001))))))</f>
        <v>2134</v>
      </c>
      <c r="F83">
        <f>IF($A$83&lt;$A30,IF($A$83=$A25,F25,IF($A$83=$A26,F26,IF($A$83=$A27,F27,IF($A$83=$A28,F28,IF($A$83=$A29,F29,0.0001))))),IF($A$83&lt;$A32,IF($A$83=$A30,F30,IF($A$83=$A31,F31,IF($A$83=$A34,F34,IF($A$83=$A35,F35,0.0001)))),IF($A$83=$A32,F32,IF($A$83=$A33,F33,IF($A$83=$A36,F36,IF($A$83=$A37,F37,0.0001))))))</f>
        <v>72</v>
      </c>
      <c r="G83">
        <f>IF($A$83&lt;$A30,IF($A$83=$A25,G25,IF($A$83=$A26,G26,IF($A$83=$A27,G27,IF($A$83=$A28,G28,IF($A$83=$A29,G29,0.0001))))),IF($A$83&lt;$A32,IF($A$83=$A30,G30,IF($A$83=$A31,G31,IF($A$83=$A34,G34,IF($A$83=$A35,G35,0.0001)))),IF($A$83=$A32,G32,IF($A$83=$A33,G33,IF($A$83=$A36,G36,IF($A$83=$A37,G37,0.0001))))))</f>
        <v>5000</v>
      </c>
      <c r="H83">
        <f>IF($A$83&lt;$A30,IF($A$83=$A25,H25,IF($A$83=$A26,H26,IF($A$83=$A27,H27,IF($A$83=$A28,H28,IF($A$83=$A29,H29,0.0001))))),IF($A$83&lt;$A32,IF($A$83=$A30,H30,IF($A$83=$A31,H31,IF($A$83=$A34,H34,IF($A$83=$A35,H35,0.0001)))),IF($A$83=$A32,H32,IF($A$83=$A33,H33,IF($A$83=$A36,H36,IF($A$83=$A37,H37,0.0001))))))</f>
        <v>1070.8959351425356</v>
      </c>
      <c r="I83">
        <f>IF($A$83&lt;$A30,IF($A$83=$A25,I25,IF($A$83=$A26,I26,IF($A$83=$A27,I27,IF($A$83=$A28,I28,IF($A$83=$A29,I29,0.0001))))),IF($A$83&lt;$A32,IF($A$83=$A30,I30,IF($A$83=$A31,I31,IF($A$83=$A34,I34,IF($A$83=$A35,I35,0.0001)))),IF($A$83=$A32,I32,IF($A$83=$A33,I33,IF($A$83=$A36,I36,IF($A$83=$A37,I37,0.0001))))))</f>
        <v>391.0500735200033</v>
      </c>
      <c r="J83">
        <f>IF($A$83&lt;$A30,IF($A$83=$A25,J25,IF($A$83=$A26,J26,IF($A$83=$A27,J27,IF($A$83=$A28,J28,IF($A$83=$A29,J29,0.0001))))),IF($A$83&lt;$A32,IF($A$83=$A30,J30,IF($A$83=$A31,J31,IF($A$83=$A34,J34,IF($A$83=$A35,J35,0.0001)))),IF($A$83=$A32,J32,IF($A$83=$A33,J33,IF($A$83=$A36,J36,IF($A$83=$A37,J37,0.0001))))))</f>
        <v>239.1938882121899</v>
      </c>
      <c r="K83">
        <f>IF($A$83&lt;$A30,IF($A$83=$A25,K25,IF($A$83=$A26,K26,IF($A$83=$A27,K27,IF($A$83=$A28,K28,IF($A$83=$A29,K29,0.0001))))),IF($A$83&lt;$A32,IF($A$83=$A30,K30,IF($A$83=$A31,K31,IF($A$83=$A34,K34,IF($A$83=$A35,K35,0.0001)))),IF($A$83=$A32,K32,IF($A$83=$A33,K33,IF($A$83=$A36,K36,IF($A$83=$A37,K37,0.0001))))))</f>
        <v>2134</v>
      </c>
      <c r="L83">
        <f>IF($A$83&lt;$A30,IF($A$83=$A25,L25,IF($A$83=$A26,L26,IF($A$83=$A27,L27,IF($A$83=$A28,L28,IF($A$83=$A29,L29,0.0001))))),IF($A$83&lt;$A32,IF($A$83=$A30,L30,IF($A$83=$A31,L31,IF($A$83=$A34,L34,IF($A$83=$A35,L35,0.0001)))),IF($A$83=$A32,L32,IF($A$83=$A33,L33,IF($A$83=$A36,L36,IF($A$83=$A37,L37,0.0001))))))</f>
        <v>72.95315649109189</v>
      </c>
      <c r="M83">
        <f>IF($A$83&lt;$A30,IF($A$83=$A25,M25,IF($A$83=$A26,M26,IF($A$83=$A27,M27,IF($A$83=$A28,M28,IF($A$83=$A29,M29,0.0001))))),IF($A$83&lt;$A32,IF($A$83=$A30,M30,IF($A$83=$A31,M31,IF($A$83=$A34,M34,IF($A$83=$A35,M35,0.0001)))),IF($A$83=$A32,M32,IF($A$83=$A33,M33,IF($A$83=$A36,M36,IF($A$83=$A37,M37,0.0001))))))</f>
        <v>3490</v>
      </c>
      <c r="N83">
        <f>IF($A$83&lt;$A30,IF($A$83=$A25,N25,IF($A$83=$A26,N26,IF($A$83=$A27,N27,IF($A$83=$A28,N28,IF($A$83=$A29,N29,0.0001))))),IF($A$83&lt;$A32,IF($A$83=$A30,N30,IF($A$83=$A31,N31,IF($A$83=$A34,N34,IF($A$83=$A35,N35,0.0001)))),IF($A$83=$A32,N32,IF($A$83=$A33,N33,IF($A$83=$A36,N36,IF($A$83=$A37,N37,0.0001))))))</f>
        <v>77.8</v>
      </c>
    </row>
    <row r="84" ht="15" customHeight="1">
      <c r="A84" t="str">
        <f>IF(OR(A83=A25,A83=A26,A83=A27,A83=A28,A83=A29,A83=A30,A83=A31,A83=A32,A83=A33,A83=A34,A83=A35,A83=A36,A83=A37)=FALSE,"ESTE BOBINADO NO EXISTE   /   THIS WINDING DOESN'T EXIST","")</f>
        <v/>
      </c>
    </row>
    <row r="85" ht="15" customHeight="1">
      <c r="A85" t="str">
        <v>Carga / Load</v>
      </c>
    </row>
    <row r="86" ht="15" customHeight="1"/>
    <row r="87" ht="15" customHeight="1">
      <c r="A87" t="str">
        <v>rpm</v>
      </c>
      <c r="B87" t="str">
        <v>Nm 1</v>
      </c>
      <c r="C87" t="str">
        <v>Nm 2</v>
      </c>
    </row>
    <row r="88" ht="15" customHeight="1">
      <c r="A88" t="str">
        <v xml:space="preserve"> </v>
      </c>
      <c r="B88" t="str">
        <v xml:space="preserve"> </v>
      </c>
      <c r="C88" t="str">
        <v xml:space="preserve"> </v>
      </c>
    </row>
    <row r="89" ht="15" customHeight="1">
      <c r="A89" t="str">
        <v xml:space="preserve"> </v>
      </c>
      <c r="B89" t="str">
        <v xml:space="preserve"> </v>
      </c>
      <c r="C89" t="str">
        <v xml:space="preserve"> </v>
      </c>
    </row>
    <row r="90" ht="15" customHeight="1">
      <c r="A90" t="str">
        <v xml:space="preserve"> </v>
      </c>
      <c r="B90" t="str">
        <v xml:space="preserve"> </v>
      </c>
      <c r="C90" t="str">
        <v xml:space="preserve"> </v>
      </c>
    </row>
    <row r="91" ht="15" customHeight="1">
      <c r="A91" t="str">
        <v xml:space="preserve"> </v>
      </c>
      <c r="B91" t="str">
        <v xml:space="preserve"> </v>
      </c>
      <c r="C91" t="str">
        <v xml:space="preserve"> </v>
      </c>
    </row>
    <row r="92" ht="15" customHeight="1"/>
    <row r="93" ht="15" customHeight="1"/>
    <row r="94" ht="15" customHeight="1"/>
    <row r="95" ht="15" customHeight="1">
      <c r="P95" t="str">
        <v>rpm</v>
      </c>
      <c r="Q95" t="str">
        <v>Límite Servicio S1 Limit for Service S1</v>
      </c>
      <c r="R95" t="str">
        <v>Límite Servicio S6 Limit for Service S6</v>
      </c>
      <c r="S95" t="str">
        <v>Nm s1</v>
      </c>
      <c r="T95" t="str">
        <v>Nm s6</v>
      </c>
    </row>
    <row r="96" ht="15" customHeight="1">
      <c r="P96">
        <v>10</v>
      </c>
      <c r="Q96">
        <f>Q97*P96/P97</f>
        <v>0.5340707511102648</v>
      </c>
      <c r="R96">
        <f>R97*P96/P97</f>
        <v>1.1208710787825207</v>
      </c>
      <c r="S96">
        <f>Q96/P96*1500000/157</f>
        <v>510.2586794047116</v>
      </c>
      <c r="T96">
        <f>R96/P96*1500000/157</f>
        <v>1070.8959351425358</v>
      </c>
    </row>
    <row r="97" ht="15" customHeight="1">
      <c r="P97">
        <f>E83</f>
        <v>2134</v>
      </c>
      <c r="Q97">
        <f>D83</f>
        <v>113.97069828693051</v>
      </c>
      <c r="R97">
        <f>J83</f>
        <v>239.1938882121899</v>
      </c>
      <c r="S97">
        <f>Q97/P97*1500000/157</f>
        <v>510.25867940471164</v>
      </c>
      <c r="T97">
        <f>R97/P97*1500000/157</f>
        <v>1070.8959351425358</v>
      </c>
    </row>
    <row r="98" ht="15" customHeight="1">
      <c r="P98">
        <f>(5*P97+P103)/6</f>
        <v>2360</v>
      </c>
      <c r="Q98">
        <f>Q97</f>
        <v>113.97069828693051</v>
      </c>
      <c r="R98">
        <f>R97</f>
        <v>239.1938882121899</v>
      </c>
      <c r="S98">
        <f>Q98/P98*1500000/157</f>
        <v>461.39492451256547</v>
      </c>
      <c r="T98">
        <f>R98/P98*1500000/157</f>
        <v>968.3440362687165</v>
      </c>
    </row>
    <row r="99" ht="15" customHeight="1">
      <c r="P99">
        <f>(4*P97+2*P103)/6</f>
        <v>2586</v>
      </c>
      <c r="Q99">
        <f>Q98</f>
        <v>113.97069828693051</v>
      </c>
      <c r="R99">
        <f>R98</f>
        <v>239.1938882121899</v>
      </c>
      <c r="S99">
        <f>Q99/P99*1500000/157</f>
        <v>421.0719342032694</v>
      </c>
      <c r="T99">
        <f>R99/P99*1500000/157</f>
        <v>883.7169085824327</v>
      </c>
    </row>
    <row r="100" ht="15" customHeight="1">
      <c r="P100">
        <f>(3*P97+3*P103)/6</f>
        <v>2812</v>
      </c>
      <c r="Q100">
        <f>Q99</f>
        <v>113.97069828693051</v>
      </c>
      <c r="R100">
        <f>R99</f>
        <v>239.1938882121899</v>
      </c>
      <c r="S100">
        <f>Q100/P100*1500000/157</f>
        <v>387.23044873743055</v>
      </c>
      <c r="T100">
        <f>R100/P100*1500000/157</f>
        <v>812.692718916846</v>
      </c>
    </row>
    <row r="101" ht="15" customHeight="1">
      <c r="P101">
        <f>(2*P97+4*P103)/6</f>
        <v>3038</v>
      </c>
      <c r="Q101">
        <f>Q100</f>
        <v>113.97069828693051</v>
      </c>
      <c r="R101">
        <f>R100</f>
        <v>239.1938882121899</v>
      </c>
      <c r="S101">
        <f>Q101/P101*1500000/157</f>
        <v>358.4239703257586</v>
      </c>
      <c r="T101">
        <f>R101/P101*1500000/157</f>
        <v>752.2356568776073</v>
      </c>
    </row>
    <row r="102" ht="15" customHeight="1">
      <c r="P102">
        <f>(P97+5*P103)/6</f>
        <v>3264</v>
      </c>
      <c r="Q102">
        <f>Q101</f>
        <v>113.97069828693051</v>
      </c>
      <c r="R102">
        <f>R101</f>
        <v>239.1938882121899</v>
      </c>
      <c r="S102">
        <f>Q102/P102*1500000/157</f>
        <v>333.6066243411932</v>
      </c>
      <c r="T102">
        <f>R102/P102*1500000/157</f>
        <v>700.1507124982143</v>
      </c>
    </row>
    <row r="103" ht="15" customHeight="1">
      <c r="P103">
        <f>M83</f>
        <v>3490</v>
      </c>
      <c r="Q103">
        <f>Q102</f>
        <v>113.97069828693051</v>
      </c>
      <c r="R103">
        <f>R102</f>
        <v>239.1938882121899</v>
      </c>
      <c r="S103">
        <f>Q103/P103*1500000/157</f>
        <v>312.0034446560615</v>
      </c>
      <c r="T103">
        <f>R103/P103*1500000/157</f>
        <v>654.8114399983298</v>
      </c>
    </row>
    <row r="104" ht="15" customHeight="1">
      <c r="P104">
        <f>(3*P103+P107)/4</f>
        <v>3867.5</v>
      </c>
      <c r="Q104">
        <f>Q103</f>
        <v>113.97069828693051</v>
      </c>
      <c r="R104">
        <f>R103*P103^1.3/P104^1.3</f>
        <v>209.29734272726878</v>
      </c>
      <c r="S104">
        <f>Q104/P104*1500000/157</f>
        <v>281.54932691652346</v>
      </c>
      <c r="T104">
        <f>R104/P104*1500000/157</f>
        <v>517.0410189286076</v>
      </c>
    </row>
    <row r="105" ht="15" customHeight="1">
      <c r="P105">
        <f>(P103+P107)/2</f>
        <v>4245</v>
      </c>
      <c r="Q105">
        <f>Q104</f>
        <v>113.97069828693051</v>
      </c>
      <c r="R105">
        <f>R104*P104^1.3/P105^1.3</f>
        <v>185.4309104347379</v>
      </c>
      <c r="S105">
        <f>Q105/P105*1500000/157</f>
        <v>256.51166592453586</v>
      </c>
      <c r="T105">
        <f>R105/P105*1500000/157</f>
        <v>417.3457955813236</v>
      </c>
    </row>
    <row r="106" ht="15" customHeight="1">
      <c r="P106">
        <f>(P103+3*P107)/4</f>
        <v>4622.5</v>
      </c>
      <c r="Q106">
        <f>Q105</f>
        <v>113.97069828693051</v>
      </c>
      <c r="R106">
        <f>R105*P105^1.3/P106^1.3</f>
        <v>165.99046356677718</v>
      </c>
      <c r="S106">
        <f>Q106/P106*1500000/157</f>
        <v>235.56344442393825</v>
      </c>
      <c r="T106">
        <f>R106/P106*1500000/157</f>
        <v>343.0819142730494</v>
      </c>
    </row>
    <row r="107" ht="15" customHeight="1">
      <c r="P107">
        <f>G83</f>
        <v>5000</v>
      </c>
      <c r="Q107">
        <f>Q106</f>
        <v>113.97069828693051</v>
      </c>
      <c r="R107">
        <f>R106*P106^1.3/P107^1.3</f>
        <v>149.88636520699478</v>
      </c>
      <c r="S107">
        <f>Q107/P107*1500000/157</f>
        <v>217.7784043699309</v>
      </c>
      <c r="T107">
        <f>R107/P107*1500000/157</f>
        <v>286.4070672745123</v>
      </c>
    </row>
    <row r="108" ht="15" customHeight="1">
      <c r="A108">
        <f>IF(A88="",0,MAX(A88:A107))</f>
        <v>0</v>
      </c>
      <c r="P108">
        <f>IF(P107*1.1&lt;$L$13,P107*1.1,$L$13)</f>
        <v>5000</v>
      </c>
      <c r="Q108">
        <f>Q107*P107^1.3/P108^1.3</f>
        <v>113.97069828693051</v>
      </c>
      <c r="R108">
        <f>R107*P107^1.3/P108^1.3</f>
        <v>149.88636520699478</v>
      </c>
      <c r="S108">
        <f>Q108/P108*1500000/157</f>
        <v>217.7784043699309</v>
      </c>
      <c r="T108">
        <f>R108/P108*1500000/157</f>
        <v>286.4070672745123</v>
      </c>
    </row>
    <row r="109" ht="15" customHeight="1">
      <c r="A109" t="str">
        <v>Carga / Load</v>
      </c>
      <c r="P109">
        <f>IF(P108*1.1&lt;$L$13,P108*1.1,$L$13)</f>
        <v>5000</v>
      </c>
      <c r="Q109">
        <f>Q108*P108^1.3/P109^1.3</f>
        <v>113.97069828693051</v>
      </c>
      <c r="R109">
        <f>R108*P108^1.3/P109^1.3</f>
        <v>149.88636520699478</v>
      </c>
      <c r="S109">
        <f>Q109/P109*1500000/157</f>
        <v>217.7784043699309</v>
      </c>
      <c r="T109">
        <f>R109/P109*1500000/157</f>
        <v>286.4070672745123</v>
      </c>
    </row>
    <row r="110" ht="15" customHeight="1">
      <c r="P110">
        <f>IF(AND((P109*1.1)&lt;$L$13,A132&lt;$L$13)=TRUE,MAX(P109*1.1,A132),$L$13)</f>
        <v>5000</v>
      </c>
      <c r="Q110">
        <f>Q109*P109^1.3/P110^1.3</f>
        <v>113.97069828693051</v>
      </c>
      <c r="R110">
        <f>R109*P109^1.3/P110^1.3</f>
        <v>149.88636520699478</v>
      </c>
      <c r="S110">
        <f>Q110/P110*1500000/157</f>
        <v>217.7784043699309</v>
      </c>
      <c r="T110">
        <f>R110/P110*1500000/157</f>
        <v>286.4070672745123</v>
      </c>
    </row>
    <row r="111" ht="15" customHeight="1">
      <c r="A111" t="str">
        <v>rpm</v>
      </c>
      <c r="B111" t="str">
        <v>KW 1</v>
      </c>
      <c r="C111" t="str">
        <v>KW 2</v>
      </c>
    </row>
    <row r="112" ht="15" customHeight="1">
      <c r="A112" t="str">
        <f>A88</f>
        <v xml:space="preserve"> </v>
      </c>
      <c r="B112" t="str">
        <v xml:space="preserve"> </v>
      </c>
      <c r="C112" t="str">
        <v xml:space="preserve"> </v>
      </c>
    </row>
    <row r="113" ht="15" customHeight="1">
      <c r="A113" t="str">
        <f>A89</f>
        <v xml:space="preserve"> </v>
      </c>
      <c r="B113" t="str">
        <v xml:space="preserve"> </v>
      </c>
      <c r="C113" t="str">
        <v xml:space="preserve"> </v>
      </c>
    </row>
    <row r="114" ht="15" customHeight="1">
      <c r="A114" t="str">
        <v xml:space="preserve"> </v>
      </c>
      <c r="B114" t="str">
        <f>B113</f>
        <v xml:space="preserve"> </v>
      </c>
      <c r="C114" t="str">
        <v xml:space="preserve"> </v>
      </c>
    </row>
    <row r="115" ht="15" customHeight="1">
      <c r="A115" t="str">
        <v xml:space="preserve"> </v>
      </c>
      <c r="B115" t="str">
        <f>B114</f>
        <v xml:space="preserve"> </v>
      </c>
      <c r="C115" t="str">
        <f>C114</f>
        <v xml:space="preserve"> </v>
      </c>
    </row>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c r="A132">
        <f>MAX(A108,IF(A112="",0,MAX(A112:A131)))</f>
        <v>0</v>
      </c>
    </row>
    <row r="133" ht="15" customHeight="1"/>
    <row r="134" ht="15" customHeight="1"/>
    <row r="135" ht="15" customHeight="1"/>
    <row r="136" ht="15" customHeight="1"/>
    <row r="137" ht="15" customHeight="1"/>
    <row r="138" ht="25.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sheetData>
  <mergeCells count="59">
    <mergeCell ref="A19:D19"/>
    <mergeCell ref="A20:D20"/>
    <mergeCell ref="I17:I18"/>
    <mergeCell ref="K17:K18"/>
    <mergeCell ref="C15:C16"/>
    <mergeCell ref="F15:F16"/>
    <mergeCell ref="F19:G20"/>
    <mergeCell ref="L22:L23"/>
    <mergeCell ref="A77:D77"/>
    <mergeCell ref="E77:F78"/>
    <mergeCell ref="G77:L77"/>
    <mergeCell ref="A78:D78"/>
    <mergeCell ref="G78:L78"/>
    <mergeCell ref="B22:G23"/>
    <mergeCell ref="H22:K23"/>
    <mergeCell ref="M19:N20"/>
    <mergeCell ref="E17:E18"/>
    <mergeCell ref="G17:G18"/>
    <mergeCell ref="H17:H18"/>
    <mergeCell ref="H19:K19"/>
    <mergeCell ref="H20:K20"/>
    <mergeCell ref="E19:E20"/>
    <mergeCell ref="L19:L20"/>
    <mergeCell ref="M1:N1"/>
    <mergeCell ref="M5:N5"/>
    <mergeCell ref="M4:N4"/>
    <mergeCell ref="M3:N3"/>
    <mergeCell ref="M2:N2"/>
    <mergeCell ref="L17:N18"/>
    <mergeCell ref="B80:G81"/>
    <mergeCell ref="H80:K81"/>
    <mergeCell ref="D72:K72"/>
    <mergeCell ref="A7:D8"/>
    <mergeCell ref="I7:J8"/>
    <mergeCell ref="G11:G12"/>
    <mergeCell ref="F17:F18"/>
    <mergeCell ref="H9:J10"/>
    <mergeCell ref="I15:J16"/>
    <mergeCell ref="J11:K12"/>
    <mergeCell ref="M75:N75"/>
    <mergeCell ref="D2:K2"/>
    <mergeCell ref="D4:K4"/>
    <mergeCell ref="D3:K3"/>
    <mergeCell ref="M7:N8"/>
    <mergeCell ref="M9:N10"/>
    <mergeCell ref="L15:N16"/>
    <mergeCell ref="N11:N12"/>
    <mergeCell ref="G13:H14"/>
    <mergeCell ref="L13:N14"/>
    <mergeCell ref="A85:C86"/>
    <mergeCell ref="A109:C110"/>
    <mergeCell ref="M71:N71"/>
    <mergeCell ref="L80:L81"/>
    <mergeCell ref="D73:K73"/>
    <mergeCell ref="D74:K74"/>
    <mergeCell ref="M72:N72"/>
    <mergeCell ref="M73:N73"/>
    <mergeCell ref="M77:N78"/>
    <mergeCell ref="M74:N74"/>
  </mergeCells>
  <pageMargins left="0.75" right="0.75" top="1" bottom="1" header="0" footer="0"/>
  <ignoredErrors>
    <ignoredError numberStoredAsText="1" sqref="A1:BX211"/>
  </ignoredErrors>
  <legacyDrawing r:id="rId1"/>
</worksheet>
</file>

<file path=xl/worksheets/sheet2.xml><?xml version="1.0" encoding="utf-8"?>
<worksheet xmlns="http://schemas.openxmlformats.org/spreadsheetml/2006/main" xmlns:r="http://schemas.openxmlformats.org/officeDocument/2006/relationships">
  <dimension ref="A1:AD121"/>
  <sheetViews>
    <sheetView workbookViewId="0" rightToLeft="0"/>
  </sheetViews>
  <cols>
    <col min="1" max="1" width="32.83203125" customWidth="1"/>
    <col min="2" max="2" width="18.83203125" customWidth="1"/>
    <col min="3" max="3" width="18.83203125" customWidth="1"/>
    <col min="4" max="4" width="18.83203125" customWidth="1"/>
    <col min="5" max="5" width="18.83203125" customWidth="1"/>
    <col min="6" max="6" width="18.83203125" customWidth="1"/>
    <col min="7" max="7" width="18.83203125" customWidth="1"/>
    <col min="8" max="8" width="18.83203125" customWidth="1"/>
    <col min="9" max="9" width="18.83203125" customWidth="1"/>
    <col min="10" max="10" width="18.83203125" customWidth="1"/>
    <col min="11" max="11" width="18.83203125" customWidth="1"/>
    <col min="12" max="12" width="18.83203125" customWidth="1"/>
    <col min="13" max="13" width="18.83203125" customWidth="1"/>
    <col min="14" max="14" width="18.83203125" customWidth="1"/>
  </cols>
  <sheetData>
    <row r="1" ht="16.5" customHeight="1"/>
    <row r="2" ht="16.5" customHeight="1">
      <c r="G2" t="str">
        <v>MOTOR MAC QI 160 L</v>
      </c>
    </row>
    <row r="3" ht="16.5" customHeight="1"/>
    <row r="4" ht="16.5" customHeight="1">
      <c r="G4" t="str">
        <v>Parámetros motor / Motor parameters</v>
      </c>
    </row>
    <row r="5" ht="16.5" customHeight="1">
      <c r="M5" t="str">
        <v>Fecha - Date</v>
      </c>
      <c r="N5">
        <f>'motor datasheet'!M4</f>
        <v>41974</v>
      </c>
    </row>
    <row r="6" ht="16.5" customHeight="1"/>
    <row r="7" ht="16.5" customHeight="1">
      <c r="B7" t="str">
        <v>PLACA DE CARACTERÍSTICAS / NAMEPLATE DATA</v>
      </c>
    </row>
    <row r="8" ht="16.5" customHeight="1">
      <c r="B8" t="str">
        <v>QI 160 L</v>
      </c>
      <c r="C8" t="str">
        <v>QI 160 L</v>
      </c>
      <c r="D8" t="str">
        <v>QI 160 L</v>
      </c>
      <c r="E8" t="str">
        <v>QI 160 L</v>
      </c>
      <c r="F8" t="str">
        <v>QI 160 L</v>
      </c>
      <c r="G8" t="str">
        <v>QI 160 L</v>
      </c>
      <c r="H8" t="str">
        <v>QI 160 L</v>
      </c>
      <c r="I8" t="str">
        <v>QI 160 L</v>
      </c>
      <c r="J8" t="str">
        <v>QI 160 L</v>
      </c>
      <c r="K8" t="str">
        <v>QI 160 L</v>
      </c>
      <c r="L8" t="str">
        <v>QI 160 L</v>
      </c>
      <c r="M8" t="str">
        <v>QI 160 L</v>
      </c>
      <c r="N8" t="str">
        <v>QI 160 L</v>
      </c>
    </row>
    <row r="9" ht="16.5" customHeight="1">
      <c r="B9" t="str">
        <v>Bob. A41</v>
      </c>
      <c r="C9" t="str">
        <v>Bob. B41</v>
      </c>
      <c r="D9" t="str">
        <v>Bob. C41</v>
      </c>
      <c r="E9" t="str">
        <v>Bob. D41</v>
      </c>
      <c r="F9" t="str">
        <v>Bob. E41</v>
      </c>
      <c r="G9" t="str">
        <v>Bob. F41</v>
      </c>
      <c r="H9" t="str">
        <v>Bob. G41</v>
      </c>
      <c r="I9" t="str">
        <v>Bob. H41</v>
      </c>
      <c r="J9" t="str">
        <v>Bob. I41</v>
      </c>
      <c r="K9" t="str">
        <v>Bob. F42</v>
      </c>
      <c r="L9" t="str">
        <v>Bob. G42</v>
      </c>
      <c r="M9" t="str">
        <v>Bob. H42</v>
      </c>
      <c r="N9" t="str">
        <v>Bob. I42</v>
      </c>
    </row>
    <row r="10" ht="16.5" customHeight="1">
      <c r="A10" t="str">
        <v>Nm</v>
      </c>
      <c r="B10">
        <f>'motor datasheet'!B25</f>
        <v>510</v>
      </c>
      <c r="C10">
        <f>'motor datasheet'!B26</f>
        <v>510</v>
      </c>
      <c r="D10">
        <f>'motor datasheet'!B27</f>
        <v>510</v>
      </c>
      <c r="E10">
        <f>'motor datasheet'!B28</f>
        <v>510</v>
      </c>
      <c r="F10">
        <f>'motor datasheet'!B29</f>
        <v>510</v>
      </c>
      <c r="G10">
        <f>'motor datasheet'!B30</f>
        <v>510</v>
      </c>
      <c r="H10">
        <f>'motor datasheet'!B31</f>
        <v>510</v>
      </c>
      <c r="I10">
        <f>'motor datasheet'!B32</f>
        <v>510</v>
      </c>
      <c r="J10">
        <f>'motor datasheet'!B33</f>
        <v>510</v>
      </c>
      <c r="K10">
        <f>'motor datasheet'!B34</f>
        <v>510</v>
      </c>
      <c r="L10">
        <f>'motor datasheet'!B35</f>
        <v>500</v>
      </c>
      <c r="M10">
        <f>'motor datasheet'!B36</f>
        <v>490</v>
      </c>
      <c r="N10">
        <f>'motor datasheet'!B37</f>
        <v>480</v>
      </c>
    </row>
    <row r="11" ht="16.5" customHeight="1">
      <c r="A11" t="str">
        <v>rpm</v>
      </c>
      <c r="B11">
        <f>'motor datasheet'!E25</f>
        <v>484</v>
      </c>
      <c r="C11">
        <f>'motor datasheet'!E26</f>
        <v>574</v>
      </c>
      <c r="D11">
        <f>'motor datasheet'!E27</f>
        <v>695</v>
      </c>
      <c r="E11">
        <f>'motor datasheet'!E28</f>
        <v>904</v>
      </c>
      <c r="F11">
        <f>'motor datasheet'!E29</f>
        <v>1084</v>
      </c>
      <c r="G11">
        <f>'motor datasheet'!E30</f>
        <v>1204</v>
      </c>
      <c r="H11">
        <f>'motor datasheet'!E31</f>
        <v>1355</v>
      </c>
      <c r="I11">
        <f>'motor datasheet'!E32</f>
        <v>1564</v>
      </c>
      <c r="J11">
        <f>'motor datasheet'!E33</f>
        <v>1834</v>
      </c>
      <c r="K11">
        <f>'motor datasheet'!E34</f>
        <v>2134</v>
      </c>
      <c r="L11">
        <f>'motor datasheet'!E35</f>
        <v>2375</v>
      </c>
      <c r="M11">
        <f>'motor datasheet'!E36</f>
        <v>2736</v>
      </c>
      <c r="N11">
        <f>'motor datasheet'!E37</f>
        <v>3186</v>
      </c>
    </row>
    <row r="12" ht="16.5" customHeight="1">
      <c r="A12" t="str">
        <v>KW</v>
      </c>
      <c r="B12">
        <f>B11*B10*PI()/30000</f>
        <v>25.849024353736816</v>
      </c>
      <c r="C12">
        <f>C11*C10*PI()/30000</f>
        <v>30.6556611137292</v>
      </c>
      <c r="D12">
        <f>D11*D10*PI()/30000</f>
        <v>37.117917202163405</v>
      </c>
      <c r="E12">
        <f>E11*E10*PI()/30000</f>
        <v>48.279995900367936</v>
      </c>
      <c r="F12">
        <f>F11*F10*PI()/30000</f>
        <v>57.89326942035271</v>
      </c>
      <c r="G12">
        <f>G11*G10*PI()/30000</f>
        <v>64.30211843367589</v>
      </c>
      <c r="H12">
        <f>H11*H10*PI()/30000</f>
        <v>72.36658677544088</v>
      </c>
      <c r="I12">
        <f>I11*I10*PI()/30000</f>
        <v>83.52866547364542</v>
      </c>
      <c r="J12">
        <f>J11*J10*PI()/30000</f>
        <v>97.94857575362256</v>
      </c>
      <c r="K12">
        <f>K11*K10*PI()/30000</f>
        <v>113.97069828693051</v>
      </c>
      <c r="L12">
        <f>L11*L10*PI()/30000</f>
        <v>124.35470920459598</v>
      </c>
      <c r="M12">
        <f>M11*M10*PI()/30000</f>
        <v>140.3914925036207</v>
      </c>
      <c r="N12">
        <f>N11*N10*PI()/30000</f>
        <v>160.14582710939328</v>
      </c>
    </row>
    <row r="13" ht="16.5" customHeight="1">
      <c r="A13" t="str">
        <v>V</v>
      </c>
      <c r="B13">
        <f>'motor datasheet'!$F$19</f>
        <v>400</v>
      </c>
      <c r="C13">
        <f>'motor datasheet'!$F$19</f>
        <v>400</v>
      </c>
      <c r="D13">
        <f>'motor datasheet'!$F$19</f>
        <v>400</v>
      </c>
      <c r="E13">
        <f>'motor datasheet'!$F$19</f>
        <v>400</v>
      </c>
      <c r="F13">
        <f>'motor datasheet'!$F$19</f>
        <v>400</v>
      </c>
      <c r="G13">
        <f>'motor datasheet'!$F$19</f>
        <v>400</v>
      </c>
      <c r="H13">
        <f>'motor datasheet'!$F$19</f>
        <v>400</v>
      </c>
      <c r="I13">
        <f>'motor datasheet'!$F$19</f>
        <v>400</v>
      </c>
      <c r="J13">
        <f>'motor datasheet'!$F$19</f>
        <v>400</v>
      </c>
      <c r="K13">
        <f>'motor datasheet'!$F$19</f>
        <v>400</v>
      </c>
      <c r="L13">
        <f>'motor datasheet'!$F$19</f>
        <v>400</v>
      </c>
      <c r="M13">
        <f>'motor datasheet'!$F$19</f>
        <v>400</v>
      </c>
      <c r="N13">
        <f>'motor datasheet'!$F$19</f>
        <v>400</v>
      </c>
    </row>
    <row r="14" ht="16.5" customHeight="1">
      <c r="A14" t="str">
        <v>A</v>
      </c>
      <c r="B14">
        <f>'motor datasheet'!C25</f>
        <v>50</v>
      </c>
      <c r="C14">
        <f>'motor datasheet'!C26</f>
        <v>58.1</v>
      </c>
      <c r="D14">
        <f>'motor datasheet'!C27</f>
        <v>69.7</v>
      </c>
      <c r="E14">
        <f>'motor datasheet'!C28</f>
        <v>86.7</v>
      </c>
      <c r="F14">
        <f>'motor datasheet'!C29</f>
        <v>103.5</v>
      </c>
      <c r="G14">
        <f>'motor datasheet'!C30</f>
        <v>115</v>
      </c>
      <c r="H14">
        <f>'motor datasheet'!C31</f>
        <v>129.5</v>
      </c>
      <c r="I14">
        <f>'motor datasheet'!C32</f>
        <v>147.6</v>
      </c>
      <c r="J14">
        <f>'motor datasheet'!C33</f>
        <v>172.1</v>
      </c>
      <c r="K14">
        <f>'motor datasheet'!C34</f>
        <v>198.4</v>
      </c>
      <c r="L14">
        <f>'motor datasheet'!C35</f>
        <v>220.7</v>
      </c>
      <c r="M14">
        <f>'motor datasheet'!C36</f>
        <v>247.6</v>
      </c>
      <c r="N14">
        <f>'motor datasheet'!C37</f>
        <v>284.9</v>
      </c>
    </row>
    <row r="15" ht="16.5" customHeight="1">
      <c r="A15" t="str">
        <v>Hz</v>
      </c>
      <c r="B15">
        <f>'motor datasheet'!F25</f>
        <v>17</v>
      </c>
      <c r="C15">
        <f>'motor datasheet'!F26</f>
        <v>20</v>
      </c>
      <c r="D15">
        <f>'motor datasheet'!F27</f>
        <v>24</v>
      </c>
      <c r="E15">
        <f>'motor datasheet'!F28</f>
        <v>31</v>
      </c>
      <c r="F15">
        <f>'motor datasheet'!F29</f>
        <v>37</v>
      </c>
      <c r="G15">
        <f>'motor datasheet'!F30</f>
        <v>41</v>
      </c>
      <c r="H15">
        <f>'motor datasheet'!F31</f>
        <v>46</v>
      </c>
      <c r="I15">
        <f>'motor datasheet'!F32</f>
        <v>53</v>
      </c>
      <c r="J15">
        <f>'motor datasheet'!F33</f>
        <v>62</v>
      </c>
      <c r="K15">
        <f>'motor datasheet'!F34</f>
        <v>72</v>
      </c>
      <c r="L15">
        <f>'motor datasheet'!F35</f>
        <v>80</v>
      </c>
      <c r="M15">
        <f>'motor datasheet'!F36</f>
        <v>92</v>
      </c>
      <c r="N15">
        <f>'motor datasheet'!F37</f>
        <v>107</v>
      </c>
    </row>
    <row r="16" ht="16.5" customHeight="1">
      <c r="A16" t="str">
        <v>Cos fi</v>
      </c>
      <c r="B16">
        <v>0.8675</v>
      </c>
      <c r="C16">
        <v>0.8669</v>
      </c>
      <c r="D16">
        <v>0.8568</v>
      </c>
      <c r="E16">
        <v>0.8754</v>
      </c>
      <c r="F16">
        <v>0.8691</v>
      </c>
      <c r="G16">
        <v>0.8633</v>
      </c>
      <c r="H16">
        <v>0.8575</v>
      </c>
      <c r="I16">
        <v>0.8627</v>
      </c>
      <c r="J16">
        <v>0.8624</v>
      </c>
      <c r="K16">
        <v>0.8661</v>
      </c>
      <c r="L16">
        <v>0.8478</v>
      </c>
      <c r="M16">
        <v>0.8497</v>
      </c>
      <c r="N16">
        <v>0.8405</v>
      </c>
    </row>
    <row r="17" ht="16.5" customHeight="1">
      <c r="A17" t="str">
        <v>Rend / eff.</v>
      </c>
      <c r="B17">
        <v>0.8612</v>
      </c>
      <c r="C17">
        <v>0.8793</v>
      </c>
      <c r="D17">
        <v>0.8966</v>
      </c>
      <c r="E17">
        <v>0.9177</v>
      </c>
      <c r="F17">
        <v>0.9292</v>
      </c>
      <c r="G17">
        <v>0.9346</v>
      </c>
      <c r="H17">
        <v>0.9399</v>
      </c>
      <c r="I17">
        <v>0.9464</v>
      </c>
      <c r="J17">
        <v>0.9522</v>
      </c>
      <c r="K17">
        <v>0.957</v>
      </c>
      <c r="L17">
        <v>0.9592</v>
      </c>
      <c r="M17">
        <v>0.9627</v>
      </c>
      <c r="N17">
        <v>0.9652</v>
      </c>
    </row>
    <row r="18" ht="16.5" customHeight="1">
      <c r="A18" t="str">
        <v>J (Kg m2)</v>
      </c>
      <c r="B18">
        <v>0.3517071038333875</v>
      </c>
      <c r="C18">
        <v>0.3517071038333875</v>
      </c>
      <c r="D18">
        <v>0.3517071038333875</v>
      </c>
      <c r="E18">
        <v>0.3517071038333875</v>
      </c>
      <c r="F18">
        <v>0.3517071038333875</v>
      </c>
      <c r="G18">
        <v>0.3517071038333875</v>
      </c>
      <c r="H18">
        <v>0.3517071038333875</v>
      </c>
      <c r="I18">
        <v>0.3517071038333875</v>
      </c>
      <c r="J18">
        <v>0.3517071038333875</v>
      </c>
      <c r="K18">
        <v>0.3517071038333875</v>
      </c>
      <c r="L18">
        <v>0.3517071038333875</v>
      </c>
      <c r="M18">
        <v>0.3517071038333875</v>
      </c>
      <c r="N18">
        <v>0.3517071038333875</v>
      </c>
    </row>
    <row r="19" ht="16.5" customHeight="1">
      <c r="B19" t="str">
        <v>ESQUEMA EQUIVALENTE POR FASE EN ESTRELLA / PHASE STAR EQUIVALENT SCHEMA</v>
      </c>
    </row>
    <row r="20" ht="16.5" customHeight="1">
      <c r="B20" t="str">
        <v>QI 160 L</v>
      </c>
      <c r="C20" t="str">
        <v>QI 160 L</v>
      </c>
      <c r="D20" t="str">
        <v>QI 160 L</v>
      </c>
      <c r="E20" t="str">
        <v>QI 160 L</v>
      </c>
      <c r="F20" t="str">
        <v>QI 160 L</v>
      </c>
      <c r="G20" t="str">
        <v>QI 160 L</v>
      </c>
      <c r="H20" t="str">
        <v>QI 160 L</v>
      </c>
      <c r="I20" t="str">
        <v>QI 160 L</v>
      </c>
      <c r="J20" t="str">
        <v>QI 160 L</v>
      </c>
      <c r="K20" t="str">
        <v>QI 160 L</v>
      </c>
      <c r="L20" t="str">
        <v>QI 160 L</v>
      </c>
      <c r="M20" t="str">
        <v>QI 160 L</v>
      </c>
      <c r="N20" t="str">
        <v>QI 160 L</v>
      </c>
    </row>
    <row r="21" ht="16.5" customHeight="1">
      <c r="B21" t="str">
        <v>Bob. A41</v>
      </c>
      <c r="C21" t="str">
        <v>Bob. B41</v>
      </c>
      <c r="D21" t="str">
        <v>Bob. C41</v>
      </c>
      <c r="E21" t="str">
        <v>Bob. D41</v>
      </c>
      <c r="F21" t="str">
        <v>Bob. E41</v>
      </c>
      <c r="G21" t="str">
        <v>Bob. F41</v>
      </c>
      <c r="H21" t="str">
        <v>Bob. G41</v>
      </c>
      <c r="I21" t="str">
        <v>Bob. H41</v>
      </c>
      <c r="J21" t="str">
        <v>Bob. I41</v>
      </c>
      <c r="K21" t="str">
        <v>Bob. F42</v>
      </c>
      <c r="L21" t="str">
        <v>Bob. G42</v>
      </c>
      <c r="M21" t="str">
        <v>Bob. H42</v>
      </c>
      <c r="N21" t="str">
        <v>Bob. I42</v>
      </c>
    </row>
    <row r="22" ht="16.5" customHeight="1">
      <c r="A22" t="str">
        <v>Rs (mOhm)</v>
      </c>
      <c r="B22">
        <v>290.1974503405272</v>
      </c>
      <c r="C22">
        <v>215.66711980194302</v>
      </c>
      <c r="D22">
        <v>149.72275047788744</v>
      </c>
      <c r="E22">
        <v>95.23648960061337</v>
      </c>
      <c r="F22">
        <v>66.54344465683884</v>
      </c>
      <c r="G22">
        <v>53.9915605052021</v>
      </c>
      <c r="H22">
        <v>42.966793735376065</v>
      </c>
      <c r="I22">
        <v>32.70860711436261</v>
      </c>
      <c r="J22">
        <v>23.955640076461975</v>
      </c>
      <c r="K22">
        <v>17.997186835067364</v>
      </c>
      <c r="L22">
        <v>14.322264578458686</v>
      </c>
      <c r="M22">
        <v>10.90286903812087</v>
      </c>
      <c r="N22">
        <v>7.9852133588206575</v>
      </c>
    </row>
    <row r="23" ht="16.5" customHeight="1">
      <c r="A23" t="str">
        <v>Rr (mOhm)</v>
      </c>
      <c r="B23">
        <v>234.25994073099454</v>
      </c>
      <c r="C23">
        <v>172.1093442105266</v>
      </c>
      <c r="D23">
        <v>119.5203779239768</v>
      </c>
      <c r="E23">
        <v>76.49304187134514</v>
      </c>
      <c r="F23">
        <v>53.12016796621191</v>
      </c>
      <c r="G23">
        <v>43.027336052631625</v>
      </c>
      <c r="H23">
        <v>33.99690749837562</v>
      </c>
      <c r="I23">
        <v>26.02888230344383</v>
      </c>
      <c r="J23">
        <v>19.123260467836282</v>
      </c>
      <c r="K23">
        <v>14.342445350877206</v>
      </c>
      <c r="L23">
        <v>11.33230249945854</v>
      </c>
      <c r="M23">
        <v>8.676294101147944</v>
      </c>
      <c r="N23">
        <v>6.374420155945427</v>
      </c>
    </row>
    <row r="24" ht="16.5" customHeight="1">
      <c r="A24" t="str">
        <v>Rfe (Ohm)</v>
      </c>
      <c r="B24">
        <v>610.7627100921312</v>
      </c>
      <c r="C24">
        <v>520.1576496564708</v>
      </c>
      <c r="D24">
        <v>424.7183422276354</v>
      </c>
      <c r="E24">
        <v>336.28789316547403</v>
      </c>
      <c r="F24">
        <v>271.7108886524083</v>
      </c>
      <c r="G24">
        <v>238.89532681334364</v>
      </c>
      <c r="H24">
        <v>206.4528194859177</v>
      </c>
      <c r="I24">
        <v>175.85449740309335</v>
      </c>
      <c r="J24">
        <v>144.70996331191387</v>
      </c>
      <c r="K24">
        <v>120.31941801528654</v>
      </c>
      <c r="L24">
        <v>101.93645240801735</v>
      </c>
      <c r="M24">
        <v>85.25371979471893</v>
      </c>
      <c r="N24">
        <v>68.54465895339139</v>
      </c>
    </row>
    <row r="25" ht="16.5" customHeight="1">
      <c r="A25" t="str">
        <v>Ls (mH)</v>
      </c>
      <c r="B25">
        <v>3.2875799094095193</v>
      </c>
      <c r="C25">
        <v>2.4153648314029126</v>
      </c>
      <c r="D25">
        <v>1.6773366884742447</v>
      </c>
      <c r="E25">
        <v>1.0734954806235164</v>
      </c>
      <c r="F25">
        <v>0.7454829726552198</v>
      </c>
      <c r="G25">
        <v>0.603841207850728</v>
      </c>
      <c r="H25">
        <v>0.4771091024993406</v>
      </c>
      <c r="I25">
        <v>0.3652866566010577</v>
      </c>
      <c r="J25">
        <v>0.26837387015587905</v>
      </c>
      <c r="K25">
        <v>0.20128040261690935</v>
      </c>
      <c r="L25">
        <v>0.15903636749978017</v>
      </c>
      <c r="M25">
        <v>0.1217622188670192</v>
      </c>
      <c r="N25">
        <v>0.08945795671862634</v>
      </c>
    </row>
    <row r="26" ht="16.5" customHeight="1">
      <c r="A26" t="str">
        <v>Lr (mH)</v>
      </c>
      <c r="B26">
        <v>3.1193797768866016</v>
      </c>
      <c r="C26">
        <v>2.2820729780994284</v>
      </c>
      <c r="D26">
        <v>1.597139483104419</v>
      </c>
      <c r="E26">
        <v>0.9939619738296805</v>
      </c>
      <c r="F26">
        <v>0.6939416688850994</v>
      </c>
      <c r="G26">
        <v>0.5651978170069513</v>
      </c>
      <c r="H26">
        <v>0.44906391586826555</v>
      </c>
      <c r="I26">
        <v>0.341323005108306</v>
      </c>
      <c r="J26">
        <v>0.2506030629358657</v>
      </c>
      <c r="K26">
        <v>0.18703030353932182</v>
      </c>
      <c r="L26">
        <v>0.15090161238392963</v>
      </c>
      <c r="M26">
        <v>0.11532265441419287</v>
      </c>
      <c r="N26">
        <v>0.0856601804232831</v>
      </c>
    </row>
    <row r="27" ht="16.5" customHeight="1">
      <c r="A27" t="str">
        <v>Lm (mH)</v>
      </c>
      <c r="B27">
        <v>100.19858011827101</v>
      </c>
      <c r="C27">
        <v>73.71617684787023</v>
      </c>
      <c r="D27">
        <v>49.143860090156586</v>
      </c>
      <c r="E27">
        <v>34.19128341151903</v>
      </c>
      <c r="F27">
        <v>23.26111657407294</v>
      </c>
      <c r="G27">
        <v>18.373715911545048</v>
      </c>
      <c r="H27">
        <v>14.160411556620355</v>
      </c>
      <c r="I27">
        <v>11.112439730741091</v>
      </c>
      <c r="J27">
        <v>8.160904132938505</v>
      </c>
      <c r="K27">
        <v>6.228984280647599</v>
      </c>
      <c r="L27">
        <v>4.603781724342288</v>
      </c>
      <c r="M27">
        <v>3.595130576668541</v>
      </c>
      <c r="N27">
        <v>2.580346344211424</v>
      </c>
    </row>
    <row r="28" ht="16.5" customHeight="1">
      <c r="A28" t="str">
        <v>Ts (s)</v>
      </c>
      <c r="B28">
        <v>0.35660602774506284</v>
      </c>
      <c r="C28">
        <v>0.353004861145214</v>
      </c>
      <c r="D28">
        <v>0.3394353671464018</v>
      </c>
      <c r="E28">
        <v>0.37028642109794246</v>
      </c>
      <c r="F28">
        <v>0.36076580751911735</v>
      </c>
      <c r="G28">
        <v>0.3514911764324219</v>
      </c>
      <c r="H28">
        <v>0.3406705361649574</v>
      </c>
      <c r="I28">
        <v>0.35090844275977096</v>
      </c>
      <c r="J28">
        <v>0.3518702892592177</v>
      </c>
      <c r="K28">
        <v>0.3572927670415241</v>
      </c>
      <c r="L28">
        <v>0.33254643954878166</v>
      </c>
      <c r="M28">
        <v>0.34090960668607395</v>
      </c>
      <c r="N28">
        <v>0.33434351481428115</v>
      </c>
    </row>
    <row r="29" ht="16.5" customHeight="1">
      <c r="A29" t="str">
        <v>Tr (s)</v>
      </c>
      <c r="B29">
        <v>0.4410398106170433</v>
      </c>
      <c r="C29">
        <v>0.44156957412496745</v>
      </c>
      <c r="D29">
        <v>0.42453848000326594</v>
      </c>
      <c r="E29">
        <v>0.45997968605467837</v>
      </c>
      <c r="F29">
        <v>0.450959760861357</v>
      </c>
      <c r="G29">
        <v>0.4401600346669303</v>
      </c>
      <c r="H29">
        <v>0.42972954152334786</v>
      </c>
      <c r="I29">
        <v>0.44004051354652185</v>
      </c>
      <c r="J29">
        <v>0.4398573773558028</v>
      </c>
      <c r="K29">
        <v>0.44734453764500537</v>
      </c>
      <c r="L29">
        <v>0.41956904494504954</v>
      </c>
      <c r="M29">
        <v>0.42765415600559353</v>
      </c>
      <c r="N29">
        <v>0.4182351428699158</v>
      </c>
    </row>
    <row r="30" ht="16.5" customHeight="1">
      <c r="A30" t="str">
        <v>Kt</v>
      </c>
      <c r="B30">
        <v>161.5118179530926</v>
      </c>
      <c r="C30">
        <v>138.43870110265078</v>
      </c>
      <c r="D30">
        <v>115.36558425220899</v>
      </c>
      <c r="E30">
        <v>92.2924674017672</v>
      </c>
      <c r="F30">
        <v>76.91038950147266</v>
      </c>
      <c r="G30">
        <v>69.2193505513254</v>
      </c>
      <c r="H30">
        <v>61.52831160117813</v>
      </c>
      <c r="I30">
        <v>53.83727265103086</v>
      </c>
      <c r="J30">
        <v>46.146233700883585</v>
      </c>
      <c r="K30">
        <v>39.963810673938795</v>
      </c>
      <c r="L30">
        <v>35.52338726572337</v>
      </c>
      <c r="M30">
        <v>31.08296385750795</v>
      </c>
      <c r="N30">
        <v>26.64254044929253</v>
      </c>
    </row>
    <row r="31" ht="16.5" customHeight="1">
      <c r="A31" t="str">
        <v>Im (A/fase)</v>
      </c>
      <c r="B31">
        <f>'motor datasheet'!N25</f>
        <v>19.6</v>
      </c>
      <c r="C31">
        <f>'motor datasheet'!N26</f>
        <v>22.8</v>
      </c>
      <c r="D31">
        <f>'motor datasheet'!N27</f>
        <v>28.8</v>
      </c>
      <c r="E31">
        <f>'motor datasheet'!N28</f>
        <v>32.3</v>
      </c>
      <c r="F31">
        <f>'motor datasheet'!N29</f>
        <v>40</v>
      </c>
      <c r="G31">
        <f>'motor datasheet'!N30</f>
        <v>45.8</v>
      </c>
      <c r="H31">
        <f>'motor datasheet'!N31</f>
        <v>53.1</v>
      </c>
      <c r="I31">
        <f>'motor datasheet'!N32</f>
        <v>58.9</v>
      </c>
      <c r="J31">
        <f>'motor datasheet'!N33</f>
        <v>68.8</v>
      </c>
      <c r="K31">
        <f>'motor datasheet'!N34</f>
        <v>77.8</v>
      </c>
      <c r="L31">
        <f>'motor datasheet'!N35</f>
        <v>94.8</v>
      </c>
      <c r="M31">
        <f>'motor datasheet'!N36</f>
        <v>105.8</v>
      </c>
      <c r="N31">
        <f>'motor datasheet'!N37</f>
        <v>126.9</v>
      </c>
    </row>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ht="16.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sheetData>
  <sheetProtection sheet="1"/>
  <pageMargins left="0.7480314960629921" right="0.3937007874015748" top="0.3937007874015748" bottom="0.5905511811023623" header="0.1968503937007874" footer="0.3937007874015748"/>
  <ignoredErrors>
    <ignoredError numberStoredAsText="1" sqref="A1:AD121"/>
  </ignoredErrors>
</worksheet>
</file>

<file path=docProps/app.xml><?xml version="1.0" encoding="utf-8"?>
<Properties xmlns="http://schemas.openxmlformats.org/officeDocument/2006/extended-properties" xmlns:vt="http://schemas.openxmlformats.org/officeDocument/2006/docPropsVTypes">
  <Application>SheetJS</Application>
  <AppVersion>16.0000</AppVersion>
  <Company>vascat</Company>
  <DocSecurity>0</DocSecurity>
  <HyperlinksChanged>false</HyperlinksChanged>
  <SharedDoc>false</SharedDoc>
  <LinksUpToDate>false</LinksUpToDate>
  <ScaleCrop>false</ScaleCrop>
  <HeadingPairs>
    <vt:vector size="2" baseType="variant">
      <vt:variant>
        <vt:lpstr>Worksheets</vt:lpstr>
      </vt:variant>
      <vt:variant>
        <vt:i4>2</vt:i4>
      </vt:variant>
    </vt:vector>
  </HeadingPairs>
  <TitlesOfParts>
    <vt:vector size="2" baseType="lpstr">
      <vt:lpstr>motor datasheet</vt:lpstr>
      <vt:lpstr>motor parameters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2005-04-13T07:34:24Z</dcterms:created>
  <dcterms:modified xsi:type="dcterms:W3CDTF">2026-08-14T16:02:37Z</dcterms:modified>
  <cp:lastModifiedBy>Gerasimenchik@hotmail.com</cp:lastModifiedBy>
  <cp:lastPrinted>2014-12-01T14:33:58Z</cp:lastPrinted>
  <dc:creator>jordit</dc:creator>
</cp:coreProperties>
</file>